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ршок объем" sheetId="1" r:id="rId1"/>
    <sheet name="порошок площадь" sheetId="2" r:id="rId2"/>
    <sheet name="расчет газа" sheetId="3" r:id="rId3"/>
  </sheets>
  <definedNames/>
  <calcPr fullCalcOnLoad="1"/>
</workbook>
</file>

<file path=xl/sharedStrings.xml><?xml version="1.0" encoding="utf-8"?>
<sst xmlns="http://schemas.openxmlformats.org/spreadsheetml/2006/main" count="279" uniqueCount="224">
  <si>
    <t>Расчет массы газового огнетушащего вещества по объему.</t>
  </si>
  <si>
    <t>для сжиженных</t>
  </si>
  <si>
    <t xml:space="preserve">для сжатых </t>
  </si>
  <si>
    <t>газов (кромеСО2)</t>
  </si>
  <si>
    <t>газов и СО2</t>
  </si>
  <si>
    <t>Расчетный оббъем защищаемого помещения, Vр.:</t>
  </si>
  <si>
    <t>длина, м.;</t>
  </si>
  <si>
    <t>ширина, м.;</t>
  </si>
  <si>
    <t>высота, м.;</t>
  </si>
  <si>
    <r>
      <t>Vp =,,,,,,,,, м</t>
    </r>
    <r>
      <rPr>
        <sz val="10"/>
        <rFont val="Arial"/>
        <family val="2"/>
      </rPr>
      <t>³</t>
    </r>
    <r>
      <rPr>
        <sz val="10"/>
        <rFont val="Arial"/>
        <family val="0"/>
      </rPr>
      <t>.</t>
    </r>
  </si>
  <si>
    <r>
      <t xml:space="preserve">Плотность газового огнетушащего вещества, </t>
    </r>
    <r>
      <rPr>
        <i/>
        <u val="single"/>
        <sz val="10"/>
        <rFont val="Arial"/>
        <family val="2"/>
      </rPr>
      <t>Р1</t>
    </r>
  </si>
  <si>
    <r>
      <t>ρ</t>
    </r>
    <r>
      <rPr>
        <i/>
        <sz val="10"/>
        <rFont val="Arial"/>
        <family val="2"/>
      </rPr>
      <t>1=</t>
    </r>
    <r>
      <rPr>
        <sz val="10"/>
        <rFont val="Arial"/>
        <family val="2"/>
      </rPr>
      <t>ρ</t>
    </r>
    <r>
      <rPr>
        <i/>
        <sz val="10"/>
        <rFont val="Arial"/>
        <family val="2"/>
      </rPr>
      <t xml:space="preserve">0*(То/Тм)*Кз, </t>
    </r>
    <r>
      <rPr>
        <sz val="10"/>
        <rFont val="Arial"/>
        <family val="2"/>
      </rPr>
      <t>где;</t>
    </r>
  </si>
  <si>
    <r>
      <t xml:space="preserve">Ро </t>
    </r>
    <r>
      <rPr>
        <sz val="10"/>
        <rFont val="Arial"/>
        <family val="2"/>
      </rPr>
      <t xml:space="preserve">-плотность огнетушащего в-ва при </t>
    </r>
    <r>
      <rPr>
        <i/>
        <sz val="10"/>
        <rFont val="Arial"/>
        <family val="2"/>
      </rPr>
      <t>То=293 К</t>
    </r>
    <r>
      <rPr>
        <sz val="10"/>
        <rFont val="Arial"/>
        <family val="2"/>
      </rPr>
      <t xml:space="preserve"> иатмосферном давлении 101,3 кПа</t>
    </r>
    <r>
      <rPr>
        <i/>
        <sz val="10"/>
        <rFont val="Arial"/>
        <family val="2"/>
      </rPr>
      <t xml:space="preserve"> </t>
    </r>
  </si>
  <si>
    <r>
      <t>Тм</t>
    </r>
    <r>
      <rPr>
        <sz val="10"/>
        <rFont val="Arial"/>
        <family val="2"/>
      </rPr>
      <t xml:space="preserve"> - минимальная темп-ра в защищаемом помещении,</t>
    </r>
  </si>
  <si>
    <r>
      <t xml:space="preserve">Кз - </t>
    </r>
    <r>
      <rPr>
        <sz val="10"/>
        <rFont val="Arial"/>
        <family val="2"/>
      </rPr>
      <t>поправочный к-нт, учитывающий высоту относительно уровня моря, табл. 11, прил. 5</t>
    </r>
  </si>
  <si>
    <r>
      <t>ρ</t>
    </r>
    <r>
      <rPr>
        <i/>
        <sz val="10"/>
        <rFont val="Arial"/>
        <family val="2"/>
      </rPr>
      <t>о=,,,,,,,,, кг х м</t>
    </r>
    <r>
      <rPr>
        <sz val="10"/>
        <rFont val="Arial"/>
        <family val="2"/>
      </rPr>
      <t>³</t>
    </r>
  </si>
  <si>
    <r>
      <t xml:space="preserve">То=,,,,,,,,, </t>
    </r>
    <r>
      <rPr>
        <sz val="10"/>
        <rFont val="Arial"/>
        <family val="2"/>
      </rPr>
      <t>º</t>
    </r>
    <r>
      <rPr>
        <i/>
        <sz val="10"/>
        <rFont val="Arial"/>
        <family val="2"/>
      </rPr>
      <t>К</t>
    </r>
  </si>
  <si>
    <r>
      <t>Тм = ,,,,,,,,</t>
    </r>
    <r>
      <rPr>
        <sz val="10"/>
        <rFont val="Arial"/>
        <family val="2"/>
      </rPr>
      <t>º</t>
    </r>
    <r>
      <rPr>
        <i/>
        <sz val="10"/>
        <rFont val="Arial"/>
        <family val="2"/>
      </rPr>
      <t>К</t>
    </r>
  </si>
  <si>
    <t>Кз = ,,,,,,,,</t>
  </si>
  <si>
    <r>
      <t>ρ</t>
    </r>
    <r>
      <rPr>
        <i/>
        <sz val="10"/>
        <rFont val="Arial"/>
        <family val="2"/>
      </rPr>
      <t>1=,,,,,,,,,</t>
    </r>
  </si>
  <si>
    <r>
      <t xml:space="preserve">Масса газового огнетушащего вещества для создания огнетушащей концентрации, </t>
    </r>
    <r>
      <rPr>
        <i/>
        <u val="single"/>
        <sz val="10"/>
        <rFont val="Arial"/>
        <family val="2"/>
      </rPr>
      <t>Мр, кг,</t>
    </r>
  </si>
  <si>
    <r>
      <t>Мр=Vр*</t>
    </r>
    <r>
      <rPr>
        <sz val="10"/>
        <rFont val="Arial"/>
        <family val="2"/>
      </rPr>
      <t>ρ</t>
    </r>
    <r>
      <rPr>
        <i/>
        <sz val="10"/>
        <rFont val="Arial"/>
        <family val="2"/>
      </rPr>
      <t xml:space="preserve">1*(1+К2)*(Сн/(100-Сн)), </t>
    </r>
    <r>
      <rPr>
        <sz val="10"/>
        <rFont val="Arial"/>
        <family val="2"/>
      </rPr>
      <t>где</t>
    </r>
    <r>
      <rPr>
        <i/>
        <sz val="10"/>
        <rFont val="Arial"/>
        <family val="2"/>
      </rPr>
      <t>;</t>
    </r>
  </si>
  <si>
    <r>
      <t>К2-</t>
    </r>
    <r>
      <rPr>
        <sz val="10"/>
        <rFont val="Arial"/>
        <family val="2"/>
      </rPr>
      <t xml:space="preserve"> коэффициент учитывающий потери через проемы помещения;</t>
    </r>
  </si>
  <si>
    <r>
      <t>К2=П*</t>
    </r>
    <r>
      <rPr>
        <sz val="10"/>
        <rFont val="Arial"/>
        <family val="2"/>
      </rPr>
      <t>δ</t>
    </r>
    <r>
      <rPr>
        <i/>
        <sz val="10"/>
        <rFont val="Arial"/>
        <family val="2"/>
      </rPr>
      <t>*</t>
    </r>
    <r>
      <rPr>
        <sz val="10"/>
        <rFont val="Arial"/>
        <family val="2"/>
      </rPr>
      <t xml:space="preserve">ζпод* </t>
    </r>
    <r>
      <rPr>
        <i/>
        <sz val="10"/>
        <rFont val="Arial"/>
        <family val="2"/>
      </rPr>
      <t>Н</t>
    </r>
    <r>
      <rPr>
        <sz val="10"/>
        <rFont val="Arial"/>
        <family val="2"/>
      </rPr>
      <t>½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где;</t>
    </r>
  </si>
  <si>
    <r>
      <t>П-</t>
    </r>
    <r>
      <rPr>
        <sz val="10"/>
        <rFont val="Arial"/>
        <family val="2"/>
      </rPr>
      <t xml:space="preserve">параметр, учитывающий расположение проемов </t>
    </r>
  </si>
  <si>
    <t xml:space="preserve">      по высоте помещения</t>
  </si>
  <si>
    <t>П=0,65</t>
  </si>
  <si>
    <t xml:space="preserve">  при расположении проемов в верхней (0,8-1,0)Н и нижней (0-0,2)Н зонах</t>
  </si>
  <si>
    <t>П=0,1</t>
  </si>
  <si>
    <t xml:space="preserve">  при расположении проемов только в верхней (0,8-1)Н зоне</t>
  </si>
  <si>
    <t>П=0,25</t>
  </si>
  <si>
    <t xml:space="preserve">  при расположении проемов только в нижней (0-0,2)Н зоне</t>
  </si>
  <si>
    <t>П=0,4</t>
  </si>
  <si>
    <t xml:space="preserve">  при равномерном распределении проемов и во всех остальных случаях </t>
  </si>
  <si>
    <t>П=,,,,,,,,,,,</t>
  </si>
  <si>
    <r>
      <t>δ=ΣFн/V</t>
    </r>
    <r>
      <rPr>
        <sz val="10"/>
        <rFont val="Arial"/>
        <family val="0"/>
      </rPr>
      <t>р, где:</t>
    </r>
  </si>
  <si>
    <r>
      <t>ΣFн-</t>
    </r>
    <r>
      <rPr>
        <sz val="10"/>
        <rFont val="Arial"/>
        <family val="2"/>
      </rPr>
      <t>суммарная площадь проемов</t>
    </r>
  </si>
  <si>
    <r>
      <t>ΣFн=,,,,,,,,,</t>
    </r>
    <r>
      <rPr>
        <sz val="10"/>
        <rFont val="Arial"/>
        <family val="2"/>
      </rPr>
      <t>м².</t>
    </r>
  </si>
  <si>
    <r>
      <t>ζпод</t>
    </r>
    <r>
      <rPr>
        <sz val="10"/>
        <rFont val="Arial"/>
        <family val="0"/>
      </rPr>
      <t xml:space="preserve">-нормативное время подачи газа, </t>
    </r>
  </si>
  <si>
    <t xml:space="preserve">  10с-для модулей с сжиженными газами (кроме СО2)</t>
  </si>
  <si>
    <t xml:space="preserve">  15с-для модульных станций с сжиженными газами (кроме СО2)</t>
  </si>
  <si>
    <t xml:space="preserve">  60с-для сжатых газов и СО2</t>
  </si>
  <si>
    <t>ζпод=,,,,,,,,,,,,</t>
  </si>
  <si>
    <r>
      <t>Н-</t>
    </r>
    <r>
      <rPr>
        <sz val="10"/>
        <rFont val="Arial"/>
        <family val="2"/>
      </rPr>
      <t xml:space="preserve">высота защищаемого помещения, </t>
    </r>
  </si>
  <si>
    <r>
      <t>Н=,,,,,,,,,,</t>
    </r>
    <r>
      <rPr>
        <sz val="10"/>
        <rFont val="Arial"/>
        <family val="2"/>
      </rPr>
      <t>,м.</t>
    </r>
  </si>
  <si>
    <t>δ=,,,,,,,,,,,,</t>
  </si>
  <si>
    <t>К2=,,,,,,,,,,</t>
  </si>
  <si>
    <t>К1=,,,,,,,,,,</t>
  </si>
  <si>
    <r>
      <t>Сн-</t>
    </r>
    <r>
      <rPr>
        <sz val="10"/>
        <rFont val="Arial"/>
        <family val="2"/>
      </rPr>
      <t>нормативная объемная концентрация, прил. 5</t>
    </r>
  </si>
  <si>
    <t>Сн=,,,,,,,,,%</t>
  </si>
  <si>
    <t>Мр=,,,,,,,,,</t>
  </si>
  <si>
    <t>Определение количества насадков и диаметров трубопроводов,</t>
  </si>
  <si>
    <t xml:space="preserve"> фальшпол:</t>
  </si>
  <si>
    <t>высота фальшпола,м  н =……..</t>
  </si>
  <si>
    <t>Мр.ф=,,,,,,,,,</t>
  </si>
  <si>
    <t>Суммарная площадь проходных сечений насадков;</t>
  </si>
  <si>
    <r>
      <t>Fсн=Мр.ф/(J*</t>
    </r>
    <r>
      <rPr>
        <sz val="10"/>
        <rFont val="Arial Cyr"/>
        <family val="0"/>
      </rPr>
      <t>µ</t>
    </r>
    <r>
      <rPr>
        <i/>
        <sz val="10"/>
        <rFont val="Arial"/>
        <family val="2"/>
      </rPr>
      <t>*</t>
    </r>
    <r>
      <rPr>
        <sz val="10"/>
        <rFont val="Arial Cyr"/>
        <family val="0"/>
      </rPr>
      <t>ζ</t>
    </r>
    <r>
      <rPr>
        <i/>
        <sz val="10"/>
        <rFont val="Arial"/>
        <family val="2"/>
      </rPr>
      <t>под) м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где,</t>
    </r>
  </si>
  <si>
    <t>J-приведенный расход газового состава,   кг/м*сек</t>
  </si>
  <si>
    <r>
      <t>μ</t>
    </r>
    <r>
      <rPr>
        <i/>
        <sz val="10"/>
        <rFont val="Arial"/>
        <family val="2"/>
      </rPr>
      <t>-коэффициент расхода насадков</t>
    </r>
  </si>
  <si>
    <t>J=,,,,,,,,,,,,,</t>
  </si>
  <si>
    <r>
      <t>μ</t>
    </r>
    <r>
      <rPr>
        <i/>
        <sz val="10"/>
        <rFont val="Arial"/>
        <family val="2"/>
      </rPr>
      <t>=,,,,,,,,,,,,,</t>
    </r>
  </si>
  <si>
    <t>Fсн=…………</t>
  </si>
  <si>
    <t xml:space="preserve">Принимаем 2 насадка </t>
  </si>
  <si>
    <t>Nн=,,,,,,,,,,,</t>
  </si>
  <si>
    <t>Fн=,,,,,,,,,,,,,,,,</t>
  </si>
  <si>
    <t>Принимаем 4 отв. В насадке и находим Dу отверстия</t>
  </si>
  <si>
    <t>Nо=,,,,,,,,,,</t>
  </si>
  <si>
    <r>
      <t>Dу=</t>
    </r>
    <r>
      <rPr>
        <sz val="10"/>
        <rFont val="Arial"/>
        <family val="2"/>
      </rPr>
      <t>√</t>
    </r>
    <r>
      <rPr>
        <i/>
        <sz val="10"/>
        <rFont val="Arial"/>
        <family val="2"/>
      </rPr>
      <t>(4*(Fн/4)/3,14)</t>
    </r>
  </si>
  <si>
    <t>Площадь проходного сечения рядка (распределительного трубопровода к 1 насадку);</t>
  </si>
  <si>
    <r>
      <t>Fр=Ар*Fн*Nр,м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, где</t>
    </r>
  </si>
  <si>
    <t>Ар-коэффициент принимаемый равным 1,1 …. 1,25</t>
  </si>
  <si>
    <t>Fн-площадь насадка</t>
  </si>
  <si>
    <t>Nр-количество насадков расположенных на одном рядке</t>
  </si>
  <si>
    <t>Ар=,,,,,,,,,,</t>
  </si>
  <si>
    <t>Fр=,,,,,,,,,,</t>
  </si>
  <si>
    <t>Площадь проходного сечения к 2 насадкам равна;</t>
  </si>
  <si>
    <t>Fм=Fр*2*1,1</t>
  </si>
  <si>
    <t>Определяем диаметры трубопроводов:</t>
  </si>
  <si>
    <r>
      <t>Dр=</t>
    </r>
    <r>
      <rPr>
        <sz val="10"/>
        <rFont val="Arial"/>
        <family val="2"/>
      </rPr>
      <t>√</t>
    </r>
    <r>
      <rPr>
        <i/>
        <sz val="10"/>
        <rFont val="Arial"/>
        <family val="2"/>
      </rPr>
      <t xml:space="preserve">Fр*4/3,14 </t>
    </r>
  </si>
  <si>
    <t>Dр=,,,,,,,,,</t>
  </si>
  <si>
    <r>
      <t xml:space="preserve">             Принимаем трубу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>18х3</t>
    </r>
  </si>
  <si>
    <r>
      <t>Dм=</t>
    </r>
    <r>
      <rPr>
        <sz val="10"/>
        <rFont val="Arial"/>
        <family val="2"/>
      </rPr>
      <t>√</t>
    </r>
    <r>
      <rPr>
        <i/>
        <sz val="10"/>
        <rFont val="Arial"/>
        <family val="2"/>
      </rPr>
      <t>Fм*4/3,14</t>
    </r>
  </si>
  <si>
    <t>Dм=,,,,,,,,,</t>
  </si>
  <si>
    <r>
      <t xml:space="preserve">            Принимаем трубу </t>
    </r>
    <r>
      <rPr>
        <sz val="10"/>
        <rFont val="Arial"/>
        <family val="2"/>
      </rPr>
      <t>Ø20х3</t>
    </r>
  </si>
  <si>
    <t>помещение серверной;</t>
  </si>
  <si>
    <t>высота серверной, м.</t>
  </si>
  <si>
    <t>Мр.с=,,,,,,,,,</t>
  </si>
  <si>
    <t>суммарная площадь проходных сечений насдков;</t>
  </si>
  <si>
    <t>Fсн=,,,,,,,,,,</t>
  </si>
  <si>
    <t>принимаем 2 насадка</t>
  </si>
  <si>
    <t>Nн=,,,,,,,,,,,,</t>
  </si>
  <si>
    <t>Fн=,,,,,,,,,,</t>
  </si>
  <si>
    <t>Принимаем 5 отв. В насадке и находим Dу отверстия</t>
  </si>
  <si>
    <t>Nо=,,,,,,,,,</t>
  </si>
  <si>
    <t>Dу=,,,,,,,,,,</t>
  </si>
  <si>
    <r>
      <t>Fр=Ар*Fн*Nр,м</t>
    </r>
    <r>
      <rPr>
        <sz val="10"/>
        <rFont val="Arial"/>
        <family val="2"/>
      </rPr>
      <t>²</t>
    </r>
  </si>
  <si>
    <r>
      <t xml:space="preserve">             Принимаем трубу </t>
    </r>
    <r>
      <rPr>
        <sz val="10"/>
        <rFont val="Arial"/>
        <family val="2"/>
      </rPr>
      <t>Ø22</t>
    </r>
    <r>
      <rPr>
        <i/>
        <sz val="10"/>
        <rFont val="Arial"/>
        <family val="2"/>
      </rPr>
      <t>х3</t>
    </r>
  </si>
  <si>
    <r>
      <t xml:space="preserve">             Принимаем трубу </t>
    </r>
    <r>
      <rPr>
        <sz val="10"/>
        <rFont val="Arial"/>
        <family val="2"/>
      </rPr>
      <t>Ø30</t>
    </r>
    <r>
      <rPr>
        <i/>
        <sz val="10"/>
        <rFont val="Arial"/>
        <family val="2"/>
      </rPr>
      <t>х3</t>
    </r>
  </si>
  <si>
    <t>за потолочное пространство;</t>
  </si>
  <si>
    <t>высота за потолочного пространства, м.</t>
  </si>
  <si>
    <t>Мр.зп=,,,,,,,,</t>
  </si>
  <si>
    <t>Считаем магистральную тррубу:</t>
  </si>
  <si>
    <t>Fмаг=,,,,,,,,</t>
  </si>
  <si>
    <t>Dмаг=,,,,,,,</t>
  </si>
  <si>
    <r>
      <t xml:space="preserve">            Принимаем трубу </t>
    </r>
    <r>
      <rPr>
        <sz val="10"/>
        <rFont val="Arial"/>
        <family val="2"/>
      </rPr>
      <t>Ø38х3</t>
    </r>
  </si>
  <si>
    <t>Масса остатка газа в трубопроводе, кг</t>
  </si>
  <si>
    <t>Мтр=Vтр*Рговт, где</t>
  </si>
  <si>
    <t>Vтр=S*L,  м.</t>
  </si>
  <si>
    <r>
      <t>S=3,14*R</t>
    </r>
    <r>
      <rPr>
        <sz val="10"/>
        <rFont val="Arial"/>
        <family val="2"/>
      </rPr>
      <t>²</t>
    </r>
  </si>
  <si>
    <r>
      <t xml:space="preserve">Для трубы </t>
    </r>
    <r>
      <rPr>
        <sz val="10"/>
        <rFont val="Arial"/>
        <family val="2"/>
      </rPr>
      <t>Ø38</t>
    </r>
    <r>
      <rPr>
        <i/>
        <sz val="10"/>
        <rFont val="Arial"/>
        <family val="2"/>
      </rPr>
      <t>х3 (Dу32)</t>
    </r>
  </si>
  <si>
    <t>D=,,,,,,,,,,,,</t>
  </si>
  <si>
    <t>S=,,,,,,,,,,,</t>
  </si>
  <si>
    <t>L=,,,,,,,,,,,</t>
  </si>
  <si>
    <t>V1=,,,,,,,,,</t>
  </si>
  <si>
    <r>
      <t xml:space="preserve">Для труб </t>
    </r>
    <r>
      <rPr>
        <sz val="10"/>
        <rFont val="Arial"/>
        <family val="2"/>
      </rPr>
      <t>Ø30</t>
    </r>
    <r>
      <rPr>
        <i/>
        <sz val="10"/>
        <rFont val="Arial"/>
        <family val="2"/>
      </rPr>
      <t>х3 (Dу24)</t>
    </r>
  </si>
  <si>
    <t>D=,,,,,,,,,,,</t>
  </si>
  <si>
    <t>V2=,,,,,,,,,,,</t>
  </si>
  <si>
    <r>
      <t xml:space="preserve">Для труб </t>
    </r>
    <r>
      <rPr>
        <sz val="10"/>
        <rFont val="Arial"/>
        <family val="2"/>
      </rPr>
      <t>Ø20</t>
    </r>
    <r>
      <rPr>
        <i/>
        <sz val="10"/>
        <rFont val="Arial"/>
        <family val="2"/>
      </rPr>
      <t>х3 (Dу16)</t>
    </r>
  </si>
  <si>
    <t>L=,,,,,,,,,,,,</t>
  </si>
  <si>
    <t>V3=,,,,,,,,,,</t>
  </si>
  <si>
    <r>
      <t xml:space="preserve">Для труб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>18х3 (Dу12)</t>
    </r>
  </si>
  <si>
    <t>S=,,,,,,,,,,,,</t>
  </si>
  <si>
    <t>V4=,,,,,,,,,,</t>
  </si>
  <si>
    <t>Для РВД</t>
  </si>
  <si>
    <t>V5=,,,,,,,,,</t>
  </si>
  <si>
    <t>Vобщ=V1+V2+V3+V4+V5</t>
  </si>
  <si>
    <t>Mтр=</t>
  </si>
  <si>
    <t>Мб-остаток газа в баллоне (тех.паспорт), кг</t>
  </si>
  <si>
    <r>
      <t>n</t>
    </r>
    <r>
      <rPr>
        <sz val="10"/>
        <rFont val="Arial"/>
        <family val="0"/>
      </rPr>
      <t>-число модулей</t>
    </r>
  </si>
  <si>
    <t>Мб*n=,,,,,,,,</t>
  </si>
  <si>
    <t>Расчетная масса газа , которая хранится в установке, кг:</t>
  </si>
  <si>
    <t>Мг=К1*(Мр+Мтр+Мб*n)</t>
  </si>
  <si>
    <t>Проверяем соблюдение пп. 7.14.10 НПБ 88-2001* (внутренний</t>
  </si>
  <si>
    <r>
      <t>объем трубопроводов не должен превышать 80</t>
    </r>
    <r>
      <rPr>
        <u val="single"/>
        <sz val="10"/>
        <rFont val="Arial Cyr"/>
        <family val="0"/>
      </rPr>
      <t>%</t>
    </r>
    <r>
      <rPr>
        <u val="single"/>
        <sz val="10"/>
        <rFont val="Arial"/>
        <family val="2"/>
      </rPr>
      <t xml:space="preserve"> объема</t>
    </r>
  </si>
  <si>
    <t>жидкой фазы расчетного количества ГОТВ)</t>
  </si>
  <si>
    <r>
      <t>Vж=Мг/</t>
    </r>
    <r>
      <rPr>
        <sz val="10"/>
        <rFont val="Arial"/>
        <family val="2"/>
      </rPr>
      <t>ρ</t>
    </r>
    <r>
      <rPr>
        <sz val="10"/>
        <rFont val="Arial"/>
        <family val="0"/>
      </rPr>
      <t>гж</t>
    </r>
  </si>
  <si>
    <r>
      <t>ρ</t>
    </r>
    <r>
      <rPr>
        <sz val="10"/>
        <rFont val="Arial"/>
        <family val="0"/>
      </rPr>
      <t>гж- плотность жидкой фазы газового состава</t>
    </r>
  </si>
  <si>
    <r>
      <t>ρ</t>
    </r>
    <r>
      <rPr>
        <sz val="10"/>
        <rFont val="Arial"/>
        <family val="0"/>
      </rPr>
      <t>=,,,,,,,,,,,,,</t>
    </r>
  </si>
  <si>
    <t>0,8*Vж=,,,,,,,,,,</t>
  </si>
  <si>
    <t>т.е. условие соблюдено.</t>
  </si>
  <si>
    <r>
      <t xml:space="preserve">            </t>
    </r>
    <r>
      <rPr>
        <b/>
        <u val="single"/>
        <sz val="16"/>
        <rFont val="Times New Roman"/>
        <family val="1"/>
      </rPr>
      <t xml:space="preserve"> Расчет площади проема для сброса избыточного давления.</t>
    </r>
  </si>
  <si>
    <t>Площадь проема для сброса избыточного давления Fс, м² определяется по формуле:</t>
  </si>
  <si>
    <t>Рпр-предельно допустимое избыточное давление,Мпа</t>
  </si>
  <si>
    <t>Ра-атмосферное давление, Мпа</t>
  </si>
  <si>
    <t>ρа-атмосферное давление,Мпа</t>
  </si>
  <si>
    <t>К2=1,2-коэф. Запаса,</t>
  </si>
  <si>
    <t>К3=1-(для сжиженных газов) Учитывает изменениедавления при его подаче,</t>
  </si>
  <si>
    <r>
      <t>ζ</t>
    </r>
    <r>
      <rPr>
        <i/>
        <sz val="10"/>
        <rFont val="Arial"/>
        <family val="2"/>
      </rPr>
      <t>под-время подачи ГОТВ,сек</t>
    </r>
  </si>
  <si>
    <r>
      <t>∑</t>
    </r>
    <r>
      <rPr>
        <i/>
        <sz val="10"/>
        <rFont val="Arial"/>
        <family val="2"/>
      </rPr>
      <t>F-площадь постоянно открытых проемов  м</t>
    </r>
    <r>
      <rPr>
        <sz val="10"/>
        <rFont val="Arial"/>
        <family val="2"/>
      </rPr>
      <t>²</t>
    </r>
  </si>
  <si>
    <t>Наиболее слабыми конструкциями являютсястекла в оконных блоках. Сог-</t>
  </si>
  <si>
    <t>ласно ГОСТ 111-2001 Рпр=0,7 Мпа</t>
  </si>
  <si>
    <t>К2=,,,,,,,,,</t>
  </si>
  <si>
    <t>К3=,,,,,,,,,,,</t>
  </si>
  <si>
    <t>Мр=,,,,,,,,,,</t>
  </si>
  <si>
    <t>ζпод=,,,,,,,,,</t>
  </si>
  <si>
    <r>
      <t>ρ</t>
    </r>
    <r>
      <rPr>
        <i/>
        <sz val="10"/>
        <rFont val="Arial"/>
        <family val="2"/>
      </rPr>
      <t>1=,,,,,,,,,,</t>
    </r>
  </si>
  <si>
    <r>
      <t>ρ</t>
    </r>
    <r>
      <rPr>
        <i/>
        <sz val="10"/>
        <rFont val="Arial"/>
        <family val="2"/>
      </rPr>
      <t>в=,,,,,,,,,,,</t>
    </r>
  </si>
  <si>
    <t>Рпр=,,,,,,,,,</t>
  </si>
  <si>
    <t>Ра=,,,,,,,,,,</t>
  </si>
  <si>
    <r>
      <t>∑</t>
    </r>
    <r>
      <rPr>
        <sz val="10"/>
        <rFont val="Arial"/>
        <family val="0"/>
      </rPr>
      <t>F=,,,,,,,,,,</t>
    </r>
  </si>
  <si>
    <t>Fc=,,,,,,,,,,,</t>
  </si>
  <si>
    <t>т.е. следует предусмотреть устройство (проем) площадью 0,0015 м² для сброса</t>
  </si>
  <si>
    <t>избыточного давления в случае срабатывания установки пожаротушения,</t>
  </si>
  <si>
    <t>при этом площадь пожаротушения должна быть пропорционально разделена</t>
  </si>
  <si>
    <r>
      <t>между объемами основного помещения (0,0009 м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), объемом за подвесным потол-</t>
    </r>
  </si>
  <si>
    <r>
      <t>ком (0,0003 м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) и объемом под фальшполом (0,0003 м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)</t>
    </r>
  </si>
  <si>
    <r>
      <t>Расчет порошкового пожаротушения по площади.</t>
    </r>
    <r>
      <rPr>
        <u val="single"/>
        <sz val="16"/>
        <rFont val="Times New Roman"/>
        <family val="1"/>
      </rPr>
      <t xml:space="preserve"> </t>
    </r>
  </si>
  <si>
    <r>
      <t>Площадь защищамого помещения, S</t>
    </r>
    <r>
      <rPr>
        <u val="single"/>
        <vertAlign val="subscript"/>
        <sz val="10"/>
        <rFont val="Arial Cyr"/>
        <family val="0"/>
      </rPr>
      <t>П</t>
    </r>
    <r>
      <rPr>
        <u val="single"/>
        <sz val="10"/>
        <rFont val="Arial Cyr"/>
        <family val="0"/>
      </rPr>
      <t>, м2:</t>
    </r>
  </si>
  <si>
    <t>полная</t>
  </si>
  <si>
    <t>локальная</t>
  </si>
  <si>
    <t>-длина, м.:</t>
  </si>
  <si>
    <t>-ширина, м.:</t>
  </si>
  <si>
    <t>-итого, м.:</t>
  </si>
  <si>
    <r>
      <t>Площадь защищаемая одним модулем, S</t>
    </r>
    <r>
      <rPr>
        <u val="single"/>
        <vertAlign val="subscript"/>
        <sz val="10"/>
        <rFont val="Arial Cyr"/>
        <family val="0"/>
      </rPr>
      <t>M</t>
    </r>
    <r>
      <rPr>
        <u val="single"/>
        <sz val="10"/>
        <rFont val="Arial Cyr"/>
        <family val="0"/>
      </rPr>
      <t>, м2:</t>
    </r>
  </si>
  <si>
    <r>
      <t>Коэффициент неравномерности распыления порошка. Определяется</t>
    </r>
    <r>
      <rPr>
        <sz val="10"/>
        <rFont val="Arial"/>
        <family val="0"/>
      </rPr>
      <t xml:space="preserve"> </t>
    </r>
  </si>
  <si>
    <t>паспортом на модуль. k1=1…1,2;</t>
  </si>
  <si>
    <t>k1=……</t>
  </si>
  <si>
    <t>Коэффициент запаса, учитывающий затененность возможного очага</t>
  </si>
  <si>
    <t>загорания</t>
  </si>
  <si>
    <r>
      <t>k2=1+1,33xS</t>
    </r>
    <r>
      <rPr>
        <vertAlign val="subscript"/>
        <sz val="10"/>
        <rFont val="Arial Cyr"/>
        <family val="0"/>
      </rPr>
      <t>З</t>
    </r>
    <r>
      <rPr>
        <sz val="10"/>
        <rFont val="Arial Cyr"/>
        <family val="0"/>
      </rPr>
      <t>/S</t>
    </r>
    <r>
      <rPr>
        <vertAlign val="subscript"/>
        <sz val="10"/>
        <rFont val="Arial Cyr"/>
        <family val="0"/>
      </rPr>
      <t>Y</t>
    </r>
  </si>
  <si>
    <r>
      <t>S</t>
    </r>
    <r>
      <rPr>
        <vertAlign val="subscript"/>
        <sz val="10"/>
        <rFont val="Arial Cyr"/>
        <family val="0"/>
      </rPr>
      <t>З</t>
    </r>
    <r>
      <rPr>
        <sz val="10"/>
        <rFont val="Arial Cyr"/>
        <family val="0"/>
      </rPr>
      <t>=…….</t>
    </r>
  </si>
  <si>
    <r>
      <t>S</t>
    </r>
    <r>
      <rPr>
        <vertAlign val="subscript"/>
        <sz val="10"/>
        <rFont val="Arial Cyr"/>
        <family val="0"/>
      </rPr>
      <t>Y</t>
    </r>
    <r>
      <rPr>
        <sz val="10"/>
        <rFont val="Arial Cyr"/>
        <family val="0"/>
      </rPr>
      <t>=………</t>
    </r>
  </si>
  <si>
    <r>
      <t>S</t>
    </r>
    <r>
      <rPr>
        <vertAlign val="subscript"/>
        <sz val="10"/>
        <rFont val="Arial Cyr"/>
        <family val="0"/>
      </rPr>
      <t>З</t>
    </r>
    <r>
      <rPr>
        <sz val="10"/>
        <rFont val="Arial Cyr"/>
        <family val="0"/>
      </rPr>
      <t>/S</t>
    </r>
    <r>
      <rPr>
        <vertAlign val="subscript"/>
        <sz val="10"/>
        <rFont val="Arial Cyr"/>
        <family val="0"/>
      </rPr>
      <t>Y</t>
    </r>
    <r>
      <rPr>
        <sz val="10"/>
        <rFont val="Arial Cyr"/>
        <family val="0"/>
      </rPr>
      <t>=….</t>
    </r>
  </si>
  <si>
    <r>
      <t>Если отношение S</t>
    </r>
    <r>
      <rPr>
        <u val="single"/>
        <vertAlign val="subscript"/>
        <sz val="10"/>
        <rFont val="Arial Cyr"/>
        <family val="0"/>
      </rPr>
      <t>3</t>
    </r>
    <r>
      <rPr>
        <u val="single"/>
        <sz val="10"/>
        <rFont val="Arial Cyr"/>
        <family val="0"/>
      </rPr>
      <t>/S</t>
    </r>
    <r>
      <rPr>
        <u val="single"/>
        <vertAlign val="subscript"/>
        <sz val="10"/>
        <rFont val="Arial Cyr"/>
        <family val="0"/>
      </rPr>
      <t>Y</t>
    </r>
    <r>
      <rPr>
        <u val="single"/>
        <sz val="10"/>
        <rFont val="Arial Cyr"/>
        <family val="0"/>
      </rPr>
      <t>&gt;0,15 устанавливаем дополнительные модули и</t>
    </r>
  </si>
  <si>
    <r>
      <t>коэффициент k1 принимаем  =1</t>
    </r>
    <r>
      <rPr>
        <sz val="10"/>
        <rFont val="Arial"/>
        <family val="0"/>
      </rPr>
      <t>.</t>
    </r>
  </si>
  <si>
    <t>k2=………</t>
  </si>
  <si>
    <r>
      <t>Коэффициент учитывающий изменение огнетушащей способности</t>
    </r>
    <r>
      <rPr>
        <sz val="10"/>
        <rFont val="Arial"/>
        <family val="0"/>
      </rPr>
      <t xml:space="preserve"> </t>
    </r>
  </si>
  <si>
    <r>
      <t>порошка по отношению к горючему веществу. Определяется по</t>
    </r>
    <r>
      <rPr>
        <sz val="10"/>
        <rFont val="Arial"/>
        <family val="0"/>
      </rPr>
      <t xml:space="preserve"> </t>
    </r>
  </si>
  <si>
    <t>таблице.</t>
  </si>
  <si>
    <t>k3=………</t>
  </si>
  <si>
    <t>Коэффициент учитытывающий степень негерметичности помещения.</t>
  </si>
  <si>
    <t>k4=,,,,,,,,,</t>
  </si>
  <si>
    <t>Количество модулей необходимых для защиты площади.</t>
  </si>
  <si>
    <r>
      <t>N=k1xk2xk3xk4xS</t>
    </r>
    <r>
      <rPr>
        <vertAlign val="subscript"/>
        <sz val="10"/>
        <rFont val="Arial Cyr"/>
        <family val="0"/>
      </rPr>
      <t>П</t>
    </r>
    <r>
      <rPr>
        <sz val="10"/>
        <rFont val="Arial Cyr"/>
        <family val="0"/>
      </rPr>
      <t>/S</t>
    </r>
    <r>
      <rPr>
        <vertAlign val="subscript"/>
        <sz val="10"/>
        <rFont val="Arial Cyr"/>
        <family val="0"/>
      </rPr>
      <t>M</t>
    </r>
  </si>
  <si>
    <t>N=……….</t>
  </si>
  <si>
    <r>
      <t>Расчет порошкового пожаротушения по объему</t>
    </r>
    <r>
      <rPr>
        <u val="single"/>
        <sz val="16"/>
        <rFont val="Times New Roman"/>
        <family val="1"/>
      </rPr>
      <t xml:space="preserve"> </t>
    </r>
  </si>
  <si>
    <t>локальное</t>
  </si>
  <si>
    <r>
      <t>Объем защищамого помещения, V</t>
    </r>
    <r>
      <rPr>
        <u val="single"/>
        <vertAlign val="subscript"/>
        <sz val="10"/>
        <rFont val="Arial Cyr"/>
        <family val="0"/>
      </rPr>
      <t>П</t>
    </r>
    <r>
      <rPr>
        <u val="single"/>
        <sz val="10"/>
        <rFont val="Arial Cyr"/>
        <family val="0"/>
      </rPr>
      <t>, м</t>
    </r>
    <r>
      <rPr>
        <u val="single"/>
        <vertAlign val="superscript"/>
        <sz val="10"/>
        <rFont val="Arial Cyr"/>
        <family val="0"/>
      </rPr>
      <t>3</t>
    </r>
    <r>
      <rPr>
        <u val="single"/>
        <sz val="10"/>
        <rFont val="Arial Cyr"/>
        <family val="0"/>
      </rPr>
      <t>:</t>
    </r>
  </si>
  <si>
    <t>Vп=V+15%</t>
  </si>
  <si>
    <t>-высота, м.:</t>
  </si>
  <si>
    <r>
      <t>-итого, Vп,м</t>
    </r>
    <r>
      <rPr>
        <sz val="10"/>
        <rFont val="Arial"/>
        <family val="2"/>
      </rPr>
      <t>³</t>
    </r>
  </si>
  <si>
    <r>
      <t>Объем защищаемый одним модулем, V</t>
    </r>
    <r>
      <rPr>
        <u val="single"/>
        <vertAlign val="subscript"/>
        <sz val="10"/>
        <rFont val="Arial Cyr"/>
        <family val="0"/>
      </rPr>
      <t>M</t>
    </r>
    <r>
      <rPr>
        <u val="single"/>
        <sz val="10"/>
        <rFont val="Arial Cyr"/>
        <family val="0"/>
      </rPr>
      <t>, м</t>
    </r>
    <r>
      <rPr>
        <u val="single"/>
        <vertAlign val="superscript"/>
        <sz val="10"/>
        <rFont val="Arial Cyr"/>
        <family val="0"/>
      </rPr>
      <t>3</t>
    </r>
    <r>
      <rPr>
        <u val="single"/>
        <sz val="10"/>
        <rFont val="Arial Cyr"/>
        <family val="0"/>
      </rPr>
      <t>:</t>
    </r>
  </si>
  <si>
    <t>коэффициент k1 принимаем  =1.</t>
  </si>
  <si>
    <r>
      <t>k4=1+BxF</t>
    </r>
    <r>
      <rPr>
        <vertAlign val="subscript"/>
        <sz val="10"/>
        <rFont val="Arial Cyr"/>
        <family val="0"/>
      </rPr>
      <t>нег</t>
    </r>
    <r>
      <rPr>
        <sz val="10"/>
        <rFont val="Arial Cyr"/>
        <family val="0"/>
      </rPr>
      <t xml:space="preserve"> , где F</t>
    </r>
    <r>
      <rPr>
        <vertAlign val="subscript"/>
        <sz val="10"/>
        <rFont val="Arial Cyr"/>
        <family val="0"/>
      </rPr>
      <t>нег</t>
    </r>
    <r>
      <rPr>
        <sz val="10"/>
        <rFont val="Arial Cyr"/>
        <family val="0"/>
      </rPr>
      <t>=F/F</t>
    </r>
    <r>
      <rPr>
        <vertAlign val="subscript"/>
        <sz val="10"/>
        <rFont val="Arial Cyr"/>
        <family val="0"/>
      </rPr>
      <t>пом</t>
    </r>
    <r>
      <rPr>
        <sz val="10"/>
        <rFont val="Arial Cyr"/>
        <family val="0"/>
      </rPr>
      <t xml:space="preserve"> :</t>
    </r>
  </si>
  <si>
    <t>F=……….</t>
  </si>
  <si>
    <r>
      <t>F</t>
    </r>
    <r>
      <rPr>
        <vertAlign val="subscript"/>
        <sz val="10"/>
        <rFont val="Arial Cyr"/>
        <family val="0"/>
      </rPr>
      <t>пом</t>
    </r>
    <r>
      <rPr>
        <sz val="10"/>
        <rFont val="Arial Cyr"/>
        <family val="0"/>
      </rPr>
      <t>=…….</t>
    </r>
  </si>
  <si>
    <r>
      <t>F</t>
    </r>
    <r>
      <rPr>
        <vertAlign val="subscript"/>
        <sz val="10"/>
        <rFont val="Arial Cyr"/>
        <family val="0"/>
      </rPr>
      <t>нег</t>
    </r>
    <r>
      <rPr>
        <sz val="10"/>
        <rFont val="Arial Cyr"/>
        <family val="0"/>
      </rPr>
      <t>=……..</t>
    </r>
  </si>
  <si>
    <t>Коэффициент В определяется по графику (НПБ 88-01* пр.9)</t>
  </si>
  <si>
    <t>В=……….</t>
  </si>
  <si>
    <t>k4=……..</t>
  </si>
  <si>
    <t>Количество модулей, необходимых для защищаемого объема.</t>
  </si>
  <si>
    <r>
      <t>N=k1xk2xk3xk4xV</t>
    </r>
    <r>
      <rPr>
        <vertAlign val="subscript"/>
        <sz val="10"/>
        <rFont val="Arial Cyr"/>
        <family val="0"/>
      </rPr>
      <t>П</t>
    </r>
    <r>
      <rPr>
        <sz val="10"/>
        <rFont val="Arial Cyr"/>
        <family val="0"/>
      </rPr>
      <t>/V</t>
    </r>
    <r>
      <rPr>
        <vertAlign val="subscript"/>
        <sz val="10"/>
        <rFont val="Arial Cyr"/>
        <family val="0"/>
      </rPr>
      <t>M</t>
    </r>
  </si>
  <si>
    <t>Подвал</t>
  </si>
  <si>
    <t>1 этаж</t>
  </si>
  <si>
    <t>2 этаж</t>
  </si>
  <si>
    <t>Электрощитовая</t>
  </si>
  <si>
    <t>Мансарда</t>
  </si>
  <si>
    <t>Т.о принимаем следующее количество модулей:</t>
  </si>
  <si>
    <t>Электрощитовая------1 модуль "Буран-8СВ"</t>
  </si>
  <si>
    <t>Подвал--------------------17 модулей "Буран-8СВ"</t>
  </si>
  <si>
    <t>1 этаж---------------------16 модулей "Буран-8СВ"</t>
  </si>
  <si>
    <t>2 этаж---------------------17 модулей "Буран-8СВ"</t>
  </si>
  <si>
    <t>Мансарда---------------17 модулей "Буран-8СВ"</t>
  </si>
  <si>
    <t>Количество модулей для ЗИПа принимаем 100% максимальной зоны пожаротушения согласно п.8.23 НПБ 88-03* (17 шт.)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</si>
</sst>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"/>
    <numFmt numFmtId="183" formatCode="0.000"/>
    <numFmt numFmtId="184" formatCode="0.000000"/>
    <numFmt numFmtId="185" formatCode="_(* #,##0.00000_);_(* \(#,##0.00000\);_(* &quot;-&quot;??_);_(@_)"/>
  </numFmts>
  <fonts count="51">
    <font>
      <sz val="10"/>
      <name val="Arial"/>
      <family val="0"/>
    </font>
    <font>
      <b/>
      <u val="single"/>
      <sz val="16"/>
      <name val="Times New Roman"/>
      <family val="1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i/>
      <sz val="10"/>
      <name val="Arial"/>
      <family val="2"/>
    </font>
    <font>
      <u val="single"/>
      <sz val="16"/>
      <name val="Times New Roman"/>
      <family val="1"/>
    </font>
    <font>
      <u val="single"/>
      <vertAlign val="subscript"/>
      <sz val="10"/>
      <name val="Arial Cyr"/>
      <family val="0"/>
    </font>
    <font>
      <sz val="10"/>
      <color indexed="10"/>
      <name val="Arial Cyr"/>
      <family val="0"/>
    </font>
    <font>
      <vertAlign val="subscript"/>
      <sz val="10"/>
      <name val="Arial Cyr"/>
      <family val="0"/>
    </font>
    <font>
      <b/>
      <u val="single"/>
      <sz val="10"/>
      <name val="Arial Cyr"/>
      <family val="0"/>
    </font>
    <font>
      <u val="single"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81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79" fontId="4" fillId="0" borderId="0" xfId="58" applyFont="1" applyAlignment="1">
      <alignment/>
    </xf>
    <xf numFmtId="185" fontId="7" fillId="0" borderId="0" xfId="5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82" fontId="1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69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3" max="3" width="23.421875" style="0" customWidth="1"/>
    <col min="4" max="4" width="0.13671875" style="0" customWidth="1"/>
    <col min="5" max="5" width="9.140625" style="0" hidden="1" customWidth="1"/>
    <col min="6" max="6" width="0.42578125" style="0" hidden="1" customWidth="1"/>
    <col min="8" max="8" width="5.421875" style="0" customWidth="1"/>
    <col min="10" max="10" width="4.140625" style="0" customWidth="1"/>
    <col min="11" max="11" width="9.140625" style="0" customWidth="1"/>
    <col min="12" max="12" width="7.00390625" style="0" customWidth="1"/>
    <col min="14" max="14" width="5.00390625" style="0" customWidth="1"/>
    <col min="16" max="16" width="4.8515625" style="0" customWidth="1"/>
    <col min="17" max="17" width="0" style="0" hidden="1" customWidth="1"/>
  </cols>
  <sheetData>
    <row r="6" spans="2:17" ht="20.25">
      <c r="B6" s="1" t="s">
        <v>195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8" spans="7:17" ht="12.75">
      <c r="G8" s="24" t="s">
        <v>212</v>
      </c>
      <c r="H8" s="24"/>
      <c r="I8" s="24" t="s">
        <v>213</v>
      </c>
      <c r="J8" s="24"/>
      <c r="K8" s="24" t="s">
        <v>215</v>
      </c>
      <c r="L8" s="24"/>
      <c r="M8" s="24" t="s">
        <v>214</v>
      </c>
      <c r="N8" s="24"/>
      <c r="O8" s="24" t="s">
        <v>216</v>
      </c>
      <c r="P8" s="24"/>
      <c r="Q8" s="24" t="s">
        <v>196</v>
      </c>
    </row>
    <row r="9" spans="1:17" ht="15.75">
      <c r="A9" s="24" t="s">
        <v>197</v>
      </c>
      <c r="Q9" t="s">
        <v>198</v>
      </c>
    </row>
    <row r="11" spans="2:17" ht="12.75">
      <c r="B11" s="25" t="s">
        <v>170</v>
      </c>
      <c r="G11" s="26">
        <f>23</f>
        <v>23</v>
      </c>
      <c r="H11" s="26"/>
      <c r="I11" s="26">
        <f>22.4</f>
        <v>22.4</v>
      </c>
      <c r="J11" s="26"/>
      <c r="K11" s="26">
        <f>2.5</f>
        <v>2.5</v>
      </c>
      <c r="L11" s="26"/>
      <c r="M11" s="26">
        <f>22.65</f>
        <v>22.65</v>
      </c>
      <c r="N11" s="26"/>
      <c r="O11" s="26">
        <f>22.75</f>
        <v>22.75</v>
      </c>
      <c r="P11" s="26"/>
      <c r="Q11" s="26">
        <f>17.4</f>
        <v>17.4</v>
      </c>
    </row>
    <row r="12" spans="2:17" ht="12.75">
      <c r="B12" s="25" t="s">
        <v>171</v>
      </c>
      <c r="G12" s="26">
        <f>15</f>
        <v>15</v>
      </c>
      <c r="H12" s="26"/>
      <c r="I12" s="26">
        <f>14.5</f>
        <v>14.5</v>
      </c>
      <c r="J12" s="26"/>
      <c r="K12" s="26">
        <f>3</f>
        <v>3</v>
      </c>
      <c r="L12" s="26"/>
      <c r="M12" s="26">
        <f>14.68</f>
        <v>14.68</v>
      </c>
      <c r="N12" s="26"/>
      <c r="O12" s="26">
        <f>14.7</f>
        <v>14.7</v>
      </c>
      <c r="P12" s="26"/>
      <c r="Q12" s="26">
        <f>6.4</f>
        <v>6.4</v>
      </c>
    </row>
    <row r="13" spans="2:17" ht="12.75">
      <c r="B13" s="25" t="s">
        <v>199</v>
      </c>
      <c r="G13" s="26">
        <f>3</f>
        <v>3</v>
      </c>
      <c r="H13" s="26"/>
      <c r="I13" s="26">
        <f>3</f>
        <v>3</v>
      </c>
      <c r="J13" s="26"/>
      <c r="K13" s="26">
        <f>3</f>
        <v>3</v>
      </c>
      <c r="L13" s="26"/>
      <c r="M13" s="26">
        <f>3</f>
        <v>3</v>
      </c>
      <c r="N13" s="26"/>
      <c r="O13" s="26">
        <f>3</f>
        <v>3</v>
      </c>
      <c r="P13" s="26"/>
      <c r="Q13" s="26">
        <f>2.5</f>
        <v>2.5</v>
      </c>
    </row>
    <row r="14" spans="2:17" ht="12.75">
      <c r="B14" s="25" t="s">
        <v>200</v>
      </c>
      <c r="G14">
        <f>G11*G12*G13</f>
        <v>1035</v>
      </c>
      <c r="I14">
        <f>I11*I12*I13</f>
        <v>974.3999999999999</v>
      </c>
      <c r="K14">
        <f>K11*K12*K13</f>
        <v>22.5</v>
      </c>
      <c r="M14">
        <f>M11*M12*M13</f>
        <v>997.5059999999999</v>
      </c>
      <c r="O14">
        <f>O11*O12*O13</f>
        <v>1003.2750000000001</v>
      </c>
      <c r="Q14">
        <f>(((Q11*Q12*Q13)/100)*15)+(Q11*Q12*Q13)</f>
        <v>320.15999999999997</v>
      </c>
    </row>
    <row r="15" ht="12.75">
      <c r="B15" s="25"/>
    </row>
    <row r="16" spans="1:17" ht="15.75">
      <c r="A16" s="27" t="s">
        <v>201</v>
      </c>
      <c r="G16" s="26">
        <f>64</f>
        <v>64</v>
      </c>
      <c r="H16" s="26"/>
      <c r="I16" s="26">
        <f>64</f>
        <v>64</v>
      </c>
      <c r="J16" s="26"/>
      <c r="K16" s="26">
        <f>64</f>
        <v>64</v>
      </c>
      <c r="L16" s="26"/>
      <c r="M16" s="26">
        <f>64</f>
        <v>64</v>
      </c>
      <c r="N16" s="26"/>
      <c r="O16" s="26">
        <f>64</f>
        <v>64</v>
      </c>
      <c r="P16" s="26"/>
      <c r="Q16" s="26">
        <v>31</v>
      </c>
    </row>
    <row r="18" ht="12.75">
      <c r="A18" s="27" t="s">
        <v>174</v>
      </c>
    </row>
    <row r="19" ht="12.75">
      <c r="A19" s="27" t="s">
        <v>175</v>
      </c>
    </row>
    <row r="21" spans="2:17" ht="12.75">
      <c r="B21" s="25" t="s">
        <v>176</v>
      </c>
      <c r="G21" s="26">
        <v>1</v>
      </c>
      <c r="H21" s="26"/>
      <c r="I21" s="26">
        <v>1</v>
      </c>
      <c r="J21" s="26"/>
      <c r="K21" s="26">
        <v>1</v>
      </c>
      <c r="L21" s="26"/>
      <c r="M21" s="26">
        <v>1</v>
      </c>
      <c r="N21" s="26"/>
      <c r="O21" s="26">
        <v>1</v>
      </c>
      <c r="P21" s="26"/>
      <c r="Q21" s="26">
        <v>1.2</v>
      </c>
    </row>
    <row r="22" spans="2:16" ht="12.75">
      <c r="B22" s="25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ht="12.75">
      <c r="A23" s="27" t="s">
        <v>177</v>
      </c>
    </row>
    <row r="24" ht="12.75">
      <c r="A24" s="27" t="s">
        <v>178</v>
      </c>
    </row>
    <row r="25" ht="12.75">
      <c r="A25" s="25"/>
    </row>
    <row r="26" ht="15.75">
      <c r="A26" s="25" t="s">
        <v>179</v>
      </c>
    </row>
    <row r="28" spans="2:17" ht="15.75">
      <c r="B28" s="25" t="s">
        <v>180</v>
      </c>
      <c r="G28" s="26">
        <v>0</v>
      </c>
      <c r="H28" s="26"/>
      <c r="I28" s="26">
        <v>0</v>
      </c>
      <c r="J28" s="26"/>
      <c r="K28" s="26">
        <v>0</v>
      </c>
      <c r="L28" s="26"/>
      <c r="M28" s="26">
        <v>0</v>
      </c>
      <c r="N28" s="26"/>
      <c r="O28" s="26">
        <v>0</v>
      </c>
      <c r="P28" s="26"/>
      <c r="Q28" s="26">
        <v>0</v>
      </c>
    </row>
    <row r="29" spans="1:17" ht="15.75">
      <c r="A29" s="25"/>
      <c r="B29" s="25" t="s">
        <v>181</v>
      </c>
      <c r="G29" s="26">
        <f>G11*G12</f>
        <v>345</v>
      </c>
      <c r="H29" s="26"/>
      <c r="I29" s="26">
        <f>I11*I12</f>
        <v>324.79999999999995</v>
      </c>
      <c r="J29" s="26"/>
      <c r="K29" s="26">
        <f>K11*K12</f>
        <v>7.5</v>
      </c>
      <c r="L29" s="26"/>
      <c r="M29" s="30">
        <f>M11*M12</f>
        <v>332.50199999999995</v>
      </c>
      <c r="N29" s="26"/>
      <c r="O29" s="30">
        <f>O11*O12</f>
        <v>334.425</v>
      </c>
      <c r="P29" s="26"/>
      <c r="Q29" s="26">
        <f>100</f>
        <v>100</v>
      </c>
    </row>
    <row r="30" spans="1:17" ht="15.75">
      <c r="A30" s="25"/>
      <c r="B30" t="s">
        <v>182</v>
      </c>
      <c r="G30">
        <f>G28/G29</f>
        <v>0</v>
      </c>
      <c r="I30">
        <f>I28/I29</f>
        <v>0</v>
      </c>
      <c r="K30">
        <f>K28/K29</f>
        <v>0</v>
      </c>
      <c r="M30">
        <f>M28/M29</f>
        <v>0</v>
      </c>
      <c r="O30">
        <f>O28/O29</f>
        <v>0</v>
      </c>
      <c r="Q30">
        <f>Q28/Q29</f>
        <v>0</v>
      </c>
    </row>
    <row r="31" ht="12.75">
      <c r="A31" s="25"/>
    </row>
    <row r="32" ht="15.75">
      <c r="A32" s="27" t="s">
        <v>183</v>
      </c>
    </row>
    <row r="33" spans="1:2" ht="12.75">
      <c r="A33" s="27" t="s">
        <v>202</v>
      </c>
      <c r="B33" s="25"/>
    </row>
    <row r="35" spans="2:17" ht="12.75">
      <c r="B35" s="25" t="s">
        <v>185</v>
      </c>
      <c r="G35" s="26">
        <f>1+1.33*(G28/G29)</f>
        <v>1</v>
      </c>
      <c r="H35" s="26"/>
      <c r="I35" s="26">
        <f>1+1.33*(I28/I29)</f>
        <v>1</v>
      </c>
      <c r="J35" s="26"/>
      <c r="K35" s="26">
        <f>1+1.33*(K28/K29)</f>
        <v>1</v>
      </c>
      <c r="L35" s="26"/>
      <c r="M35" s="26">
        <f>1+1.33*(M28/M29)</f>
        <v>1</v>
      </c>
      <c r="N35" s="26"/>
      <c r="O35" s="26">
        <f>1+1.33*(O28/O29)</f>
        <v>1</v>
      </c>
      <c r="P35" s="26"/>
      <c r="Q35" s="26">
        <f>1</f>
        <v>1</v>
      </c>
    </row>
    <row r="36" spans="2:16" ht="12.75">
      <c r="B36" s="25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2" ht="12.75">
      <c r="A37" s="27" t="s">
        <v>186</v>
      </c>
      <c r="B37" s="25"/>
    </row>
    <row r="38" ht="12.75">
      <c r="A38" s="27" t="s">
        <v>187</v>
      </c>
    </row>
    <row r="39" ht="12.75">
      <c r="A39" s="27" t="s">
        <v>188</v>
      </c>
    </row>
    <row r="41" spans="2:17" ht="12.75">
      <c r="B41" s="25" t="s">
        <v>189</v>
      </c>
      <c r="G41" s="26">
        <v>1</v>
      </c>
      <c r="H41" s="26"/>
      <c r="I41" s="26">
        <v>1</v>
      </c>
      <c r="J41" s="26"/>
      <c r="K41" s="26">
        <v>1</v>
      </c>
      <c r="L41" s="26"/>
      <c r="M41" s="26">
        <v>1</v>
      </c>
      <c r="N41" s="26"/>
      <c r="O41" s="26">
        <v>1</v>
      </c>
      <c r="P41" s="26"/>
      <c r="Q41" s="26">
        <f>1</f>
        <v>1</v>
      </c>
    </row>
    <row r="42" spans="2:16" ht="12.75">
      <c r="B42" s="25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ht="12.75">
      <c r="A43" s="27" t="s">
        <v>190</v>
      </c>
    </row>
    <row r="45" ht="15.75">
      <c r="A45" s="25" t="s">
        <v>203</v>
      </c>
    </row>
    <row r="47" spans="2:17" ht="12.75">
      <c r="B47" s="25" t="s">
        <v>204</v>
      </c>
      <c r="G47" s="26">
        <f>3</f>
        <v>3</v>
      </c>
      <c r="H47" s="26"/>
      <c r="I47" s="26">
        <f>3</f>
        <v>3</v>
      </c>
      <c r="J47" s="26"/>
      <c r="K47" s="26">
        <f>3</f>
        <v>3</v>
      </c>
      <c r="L47" s="26"/>
      <c r="M47" s="26">
        <f>3</f>
        <v>3</v>
      </c>
      <c r="N47" s="26"/>
      <c r="O47" s="26">
        <f>3</f>
        <v>3</v>
      </c>
      <c r="P47" s="26"/>
      <c r="Q47" s="26">
        <f>15</f>
        <v>15</v>
      </c>
    </row>
    <row r="48" spans="2:17" ht="15.75">
      <c r="B48" s="25" t="s">
        <v>205</v>
      </c>
      <c r="G48" s="26">
        <f>(2*G11*G12)+(G11*G13*2)+(G12*G13*2)</f>
        <v>918</v>
      </c>
      <c r="H48" s="26"/>
      <c r="I48" s="26">
        <f>(2*I11*I12)+(I11*I13*2)+(I12*I13*2)</f>
        <v>870.9999999999999</v>
      </c>
      <c r="J48" s="26"/>
      <c r="K48" s="26">
        <f>(2*K11*K12)+(K11*K13*2)+(K12*K13*2)</f>
        <v>48</v>
      </c>
      <c r="L48" s="26"/>
      <c r="M48" s="26">
        <f>(2*M11*M12)+(M11*M13*2)+(M12*M13*2)</f>
        <v>888.9839999999999</v>
      </c>
      <c r="N48" s="26"/>
      <c r="O48" s="26">
        <f>(2*O11*O12)+(O11*O13*2)+(O12*O13*2)</f>
        <v>893.55</v>
      </c>
      <c r="P48" s="26"/>
      <c r="Q48" s="26">
        <f>232</f>
        <v>232</v>
      </c>
    </row>
    <row r="49" spans="2:17" ht="15.75">
      <c r="B49" s="25" t="s">
        <v>206</v>
      </c>
      <c r="G49" s="5">
        <f>G47/G48</f>
        <v>0.0032679738562091504</v>
      </c>
      <c r="H49" s="5"/>
      <c r="I49" s="5">
        <f>I47/I48</f>
        <v>0.0034443168771526983</v>
      </c>
      <c r="J49" s="5"/>
      <c r="K49" s="5">
        <f>K47/K48</f>
        <v>0.0625</v>
      </c>
      <c r="L49" s="5"/>
      <c r="M49" s="5">
        <f>M47/M48</f>
        <v>0.003374638913636241</v>
      </c>
      <c r="N49" s="5"/>
      <c r="O49" s="5">
        <f>O47/O48</f>
        <v>0.003357394661742488</v>
      </c>
      <c r="P49" s="5"/>
      <c r="Q49" s="5">
        <f>Q47/Q48</f>
        <v>0.06465517241379311</v>
      </c>
    </row>
    <row r="50" spans="2:16" ht="12.75">
      <c r="B50" s="2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ht="12.75">
      <c r="A51" s="27" t="s">
        <v>207</v>
      </c>
    </row>
    <row r="53" spans="2:17" ht="12.75">
      <c r="B53" s="25" t="s">
        <v>208</v>
      </c>
      <c r="G53" s="26">
        <f>10</f>
        <v>10</v>
      </c>
      <c r="H53" s="26"/>
      <c r="I53" s="26">
        <f>10</f>
        <v>10</v>
      </c>
      <c r="J53" s="26"/>
      <c r="K53" s="26">
        <f>10</f>
        <v>10</v>
      </c>
      <c r="L53" s="26"/>
      <c r="M53" s="26">
        <f>10</f>
        <v>10</v>
      </c>
      <c r="N53" s="26"/>
      <c r="O53" s="26">
        <f>10</f>
        <v>10</v>
      </c>
      <c r="P53" s="26"/>
      <c r="Q53" s="26">
        <f>1</f>
        <v>1</v>
      </c>
    </row>
    <row r="54" spans="2:17" ht="12.75">
      <c r="B54" s="25" t="s">
        <v>209</v>
      </c>
      <c r="G54" s="5">
        <f>1+(G53*G49)</f>
        <v>1.0326797385620916</v>
      </c>
      <c r="H54" s="5"/>
      <c r="I54" s="5">
        <f>1+(I53*I49)</f>
        <v>1.034443168771527</v>
      </c>
      <c r="J54" s="5"/>
      <c r="K54" s="5">
        <f>1+(K53*K49)</f>
        <v>1.625</v>
      </c>
      <c r="L54" s="5"/>
      <c r="M54" s="5">
        <f>1+(M53*M49)</f>
        <v>1.0337463891363625</v>
      </c>
      <c r="N54" s="5"/>
      <c r="O54" s="5">
        <f>1+(O53*O49)</f>
        <v>1.033573946617425</v>
      </c>
      <c r="P54" s="5"/>
      <c r="Q54" s="5">
        <f>1+(Q53*Q49)</f>
        <v>1.0646551724137931</v>
      </c>
    </row>
    <row r="55" spans="2:16" ht="12.75">
      <c r="B55" s="2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ht="12.75">
      <c r="A56" s="29" t="s">
        <v>210</v>
      </c>
    </row>
    <row r="58" ht="15.75">
      <c r="A58" s="25" t="s">
        <v>211</v>
      </c>
    </row>
    <row r="60" spans="2:17" ht="12.75">
      <c r="B60" s="25" t="s">
        <v>194</v>
      </c>
      <c r="G60" s="14">
        <f>(G14/G16)*G21*G35*G41*G54</f>
        <v>16.700367647058826</v>
      </c>
      <c r="H60" s="14"/>
      <c r="I60" s="14">
        <f>(I14/I16)*I21*I35*I41*I54</f>
        <v>15.749397244546495</v>
      </c>
      <c r="J60" s="14"/>
      <c r="K60" s="14">
        <f>(K14/K16)*K21*K35*K41*K54</f>
        <v>0.5712890625</v>
      </c>
      <c r="L60" s="14"/>
      <c r="M60" s="14">
        <f>(M14/M16)*M21*M35*M41*M54</f>
        <v>16.112003525654004</v>
      </c>
      <c r="N60" s="14"/>
      <c r="O60" s="14">
        <f>(O14/O16)*O21*O35*O41*O54</f>
        <v>16.20248283269683</v>
      </c>
      <c r="P60" s="14"/>
      <c r="Q60">
        <f>Q21*Q35*Q41*Q54*Q14/Q16</f>
        <v>13.19458064516129</v>
      </c>
    </row>
    <row r="62" ht="12.75">
      <c r="A62" t="s">
        <v>217</v>
      </c>
    </row>
    <row r="63" ht="12.75">
      <c r="B63" t="s">
        <v>219</v>
      </c>
    </row>
    <row r="64" ht="12.75">
      <c r="B64" t="s">
        <v>220</v>
      </c>
    </row>
    <row r="65" ht="12.75">
      <c r="B65" t="s">
        <v>218</v>
      </c>
    </row>
    <row r="66" ht="12.75">
      <c r="B66" t="s">
        <v>221</v>
      </c>
    </row>
    <row r="67" ht="12.75">
      <c r="B67" t="s">
        <v>222</v>
      </c>
    </row>
    <row r="69" ht="12.75">
      <c r="A69" t="s">
        <v>223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57"/>
  <sheetViews>
    <sheetView zoomScalePageLayoutView="0" workbookViewId="0" topLeftCell="A1">
      <selection activeCell="G43" sqref="G43"/>
    </sheetView>
  </sheetViews>
  <sheetFormatPr defaultColWidth="9.140625" defaultRowHeight="12.75"/>
  <sheetData>
    <row r="6" spans="2:9" ht="20.25">
      <c r="B6" s="1" t="s">
        <v>166</v>
      </c>
      <c r="G6" s="24"/>
      <c r="H6" s="24"/>
      <c r="I6" s="24"/>
    </row>
    <row r="7" spans="3:9" ht="20.25">
      <c r="C7" s="1"/>
      <c r="F7" s="24"/>
      <c r="H7" s="24"/>
      <c r="I7" s="24"/>
    </row>
    <row r="12" spans="1:9" ht="15.75">
      <c r="A12" s="24" t="s">
        <v>167</v>
      </c>
      <c r="G12" s="24" t="s">
        <v>168</v>
      </c>
      <c r="I12" s="24" t="s">
        <v>169</v>
      </c>
    </row>
    <row r="14" spans="2:9" ht="12.75">
      <c r="B14" s="25" t="s">
        <v>170</v>
      </c>
      <c r="G14" s="26">
        <f>50</f>
        <v>50</v>
      </c>
      <c r="I14" s="26">
        <f>46</f>
        <v>46</v>
      </c>
    </row>
    <row r="15" spans="2:9" ht="12.75">
      <c r="B15" s="25" t="s">
        <v>171</v>
      </c>
      <c r="G15" s="26">
        <f>13.4</f>
        <v>13.4</v>
      </c>
      <c r="I15" s="26">
        <f>13.1</f>
        <v>13.1</v>
      </c>
    </row>
    <row r="16" spans="2:7" ht="12.75">
      <c r="B16" s="25"/>
      <c r="G16" s="26"/>
    </row>
    <row r="17" spans="2:9" ht="12.75">
      <c r="B17" s="25" t="s">
        <v>172</v>
      </c>
      <c r="G17">
        <f>G14*G15</f>
        <v>670</v>
      </c>
      <c r="I17">
        <f>(((I14*I15)/100)*10)+(I14*I15)</f>
        <v>662.86</v>
      </c>
    </row>
    <row r="18" ht="12.75">
      <c r="B18" s="25"/>
    </row>
    <row r="19" spans="1:9" ht="15.75">
      <c r="A19" s="27" t="s">
        <v>173</v>
      </c>
      <c r="G19" s="26">
        <f>20</f>
        <v>20</v>
      </c>
      <c r="I19" s="26">
        <f>20</f>
        <v>20</v>
      </c>
    </row>
    <row r="21" ht="12.75">
      <c r="A21" s="27" t="s">
        <v>174</v>
      </c>
    </row>
    <row r="22" ht="12.75">
      <c r="A22" s="27" t="s">
        <v>175</v>
      </c>
    </row>
    <row r="24" spans="2:9" ht="12.75">
      <c r="B24" s="25" t="s">
        <v>176</v>
      </c>
      <c r="G24" s="26">
        <f>1</f>
        <v>1</v>
      </c>
      <c r="I24" s="26">
        <f>1</f>
        <v>1</v>
      </c>
    </row>
    <row r="25" spans="2:7" ht="12.75">
      <c r="B25" s="25"/>
      <c r="G25" s="26"/>
    </row>
    <row r="26" ht="12.75">
      <c r="A26" s="27" t="s">
        <v>177</v>
      </c>
    </row>
    <row r="27" ht="12.75">
      <c r="A27" s="27" t="s">
        <v>178</v>
      </c>
    </row>
    <row r="28" ht="12.75">
      <c r="A28" s="25"/>
    </row>
    <row r="29" ht="15.75">
      <c r="A29" s="25" t="s">
        <v>179</v>
      </c>
    </row>
    <row r="31" spans="2:9" ht="15.75">
      <c r="B31" s="25" t="s">
        <v>180</v>
      </c>
      <c r="G31" s="26">
        <v>69.2</v>
      </c>
      <c r="I31" s="26">
        <f>0</f>
        <v>0</v>
      </c>
    </row>
    <row r="32" spans="1:9" ht="15.75">
      <c r="A32" s="25"/>
      <c r="B32" s="25" t="s">
        <v>181</v>
      </c>
      <c r="G32" s="8">
        <f>G17</f>
        <v>670</v>
      </c>
      <c r="I32" s="26">
        <f>I14*I15</f>
        <v>602.6</v>
      </c>
    </row>
    <row r="33" spans="1:7" ht="15.75">
      <c r="A33" s="25"/>
      <c r="B33" t="s">
        <v>182</v>
      </c>
      <c r="G33" s="5">
        <f>G31/G32</f>
        <v>0.10328358208955224</v>
      </c>
    </row>
    <row r="34" ht="12.75">
      <c r="A34" s="25"/>
    </row>
    <row r="35" ht="15.75">
      <c r="A35" s="27" t="s">
        <v>183</v>
      </c>
    </row>
    <row r="36" spans="1:2" ht="12.75">
      <c r="A36" s="27" t="s">
        <v>184</v>
      </c>
      <c r="B36" s="25"/>
    </row>
    <row r="38" spans="2:9" ht="12.75">
      <c r="B38" s="25" t="s">
        <v>185</v>
      </c>
      <c r="G38" s="28">
        <f>1+1.33*(G31/G32)</f>
        <v>1.1373671641791046</v>
      </c>
      <c r="I38" s="26">
        <f>1</f>
        <v>1</v>
      </c>
    </row>
    <row r="39" spans="2:7" ht="12.75">
      <c r="B39" s="25"/>
      <c r="G39" s="26"/>
    </row>
    <row r="40" spans="1:2" ht="12.75">
      <c r="A40" s="27" t="s">
        <v>186</v>
      </c>
      <c r="B40" s="25"/>
    </row>
    <row r="41" ht="12.75">
      <c r="A41" s="27" t="s">
        <v>187</v>
      </c>
    </row>
    <row r="42" ht="12.75">
      <c r="A42" s="27" t="s">
        <v>188</v>
      </c>
    </row>
    <row r="44" spans="2:9" ht="12.75">
      <c r="B44" s="25" t="s">
        <v>189</v>
      </c>
      <c r="G44" s="26">
        <v>1</v>
      </c>
      <c r="I44" s="26">
        <f>1</f>
        <v>1</v>
      </c>
    </row>
    <row r="45" spans="2:7" ht="12.75">
      <c r="B45" s="25"/>
      <c r="G45" s="26"/>
    </row>
    <row r="46" ht="12.75">
      <c r="A46" s="27" t="s">
        <v>190</v>
      </c>
    </row>
    <row r="48" ht="12.75">
      <c r="A48" s="25"/>
    </row>
    <row r="50" spans="2:9" ht="12.75">
      <c r="B50" s="25" t="s">
        <v>191</v>
      </c>
      <c r="G50" s="26">
        <f>1.05</f>
        <v>1.05</v>
      </c>
      <c r="I50" s="26">
        <f>1.2</f>
        <v>1.2</v>
      </c>
    </row>
    <row r="51" spans="2:7" ht="12.75">
      <c r="B51" s="25"/>
      <c r="G51" s="26"/>
    </row>
    <row r="52" spans="2:7" ht="12.75">
      <c r="B52" s="25"/>
      <c r="G52" s="5"/>
    </row>
    <row r="53" ht="12.75">
      <c r="A53" s="29" t="s">
        <v>192</v>
      </c>
    </row>
    <row r="55" ht="15.75">
      <c r="A55" s="25" t="s">
        <v>193</v>
      </c>
    </row>
    <row r="57" spans="2:9" ht="12.75">
      <c r="B57" s="25" t="s">
        <v>194</v>
      </c>
      <c r="G57" s="14">
        <f>(G17/G19)*G24*G38*G44*G50</f>
        <v>40.006890000000006</v>
      </c>
      <c r="I57">
        <f>I24*I38*I44*I50*I17/I19</f>
        <v>39.7716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02"/>
  <sheetViews>
    <sheetView zoomScalePageLayoutView="0" workbookViewId="0" topLeftCell="A1">
      <selection activeCell="I40" sqref="I40"/>
    </sheetView>
  </sheetViews>
  <sheetFormatPr defaultColWidth="9.140625" defaultRowHeight="12.75"/>
  <sheetData>
    <row r="6" ht="20.25">
      <c r="B6" s="1" t="s">
        <v>0</v>
      </c>
    </row>
    <row r="9" spans="7:10" ht="12.75">
      <c r="G9" s="2" t="s">
        <v>1</v>
      </c>
      <c r="J9" s="2" t="s">
        <v>2</v>
      </c>
    </row>
    <row r="10" spans="7:10" ht="12.75">
      <c r="G10" s="2" t="s">
        <v>3</v>
      </c>
      <c r="J10" s="2" t="s">
        <v>4</v>
      </c>
    </row>
    <row r="11" ht="12.75">
      <c r="A11" s="3" t="s">
        <v>5</v>
      </c>
    </row>
    <row r="13" spans="2:10" ht="12.75">
      <c r="B13" t="s">
        <v>6</v>
      </c>
      <c r="G13" s="4">
        <f>5.9</f>
        <v>5.9</v>
      </c>
      <c r="J13" s="4">
        <f>10</f>
        <v>10</v>
      </c>
    </row>
    <row r="14" spans="2:10" ht="12.75">
      <c r="B14" t="s">
        <v>7</v>
      </c>
      <c r="G14" s="4">
        <f>4.4</f>
        <v>4.4</v>
      </c>
      <c r="J14" s="4">
        <f>5</f>
        <v>5</v>
      </c>
    </row>
    <row r="15" spans="2:10" ht="12.75">
      <c r="B15" t="s">
        <v>8</v>
      </c>
      <c r="G15" s="4">
        <f>3.3</f>
        <v>3.3</v>
      </c>
      <c r="J15" s="4">
        <f>2.5</f>
        <v>2.5</v>
      </c>
    </row>
    <row r="17" spans="2:10" ht="12.75">
      <c r="B17" t="s">
        <v>9</v>
      </c>
      <c r="G17" s="5">
        <f>G13*G14*G15</f>
        <v>85.668</v>
      </c>
      <c r="J17">
        <f>J13*J14*J15</f>
        <v>125</v>
      </c>
    </row>
    <row r="19" ht="12.75">
      <c r="A19" s="3" t="s">
        <v>10</v>
      </c>
    </row>
    <row r="21" ht="12.75">
      <c r="B21" s="6" t="s">
        <v>11</v>
      </c>
    </row>
    <row r="22" ht="12.75">
      <c r="B22" s="7" t="s">
        <v>12</v>
      </c>
    </row>
    <row r="23" ht="12.75">
      <c r="B23" s="7" t="s">
        <v>13</v>
      </c>
    </row>
    <row r="24" ht="12.75">
      <c r="B24" s="7" t="s">
        <v>14</v>
      </c>
    </row>
    <row r="25" ht="12.75">
      <c r="B25" s="7"/>
    </row>
    <row r="26" spans="2:10" ht="12.75">
      <c r="B26" s="6" t="s">
        <v>15</v>
      </c>
      <c r="G26" s="4">
        <f>5.208</f>
        <v>5.208</v>
      </c>
      <c r="J26" s="4">
        <f>1.88</f>
        <v>1.88</v>
      </c>
    </row>
    <row r="27" spans="2:10" ht="12.75">
      <c r="B27" s="7" t="s">
        <v>16</v>
      </c>
      <c r="G27" s="4">
        <f>293</f>
        <v>293</v>
      </c>
      <c r="J27" s="4">
        <f>293</f>
        <v>293</v>
      </c>
    </row>
    <row r="28" spans="2:10" ht="12.75">
      <c r="B28" s="7" t="s">
        <v>17</v>
      </c>
      <c r="G28" s="4">
        <f>291</f>
        <v>291</v>
      </c>
      <c r="J28" s="4">
        <f>291</f>
        <v>291</v>
      </c>
    </row>
    <row r="29" spans="2:10" ht="12.75">
      <c r="B29" s="7" t="s">
        <v>18</v>
      </c>
      <c r="G29" s="4">
        <f>0.98</f>
        <v>0.98</v>
      </c>
      <c r="J29" s="4">
        <f>0.98</f>
        <v>0.98</v>
      </c>
    </row>
    <row r="31" spans="2:10" ht="12.75">
      <c r="B31" s="6" t="s">
        <v>19</v>
      </c>
      <c r="G31" s="5">
        <f>G26*(G27/G28)*G29</f>
        <v>5.1389179381443295</v>
      </c>
      <c r="J31" s="5">
        <f>J26*(J27/J28)*J29</f>
        <v>1.8550625429553262</v>
      </c>
    </row>
    <row r="33" ht="12.75">
      <c r="A33" s="3" t="s">
        <v>20</v>
      </c>
    </row>
    <row r="35" ht="12.75">
      <c r="B35" s="7" t="s">
        <v>21</v>
      </c>
    </row>
    <row r="36" ht="12.75">
      <c r="B36" s="7"/>
    </row>
    <row r="37" ht="12.75">
      <c r="B37" s="7" t="s">
        <v>22</v>
      </c>
    </row>
    <row r="39" ht="12.75">
      <c r="B39" s="7" t="s">
        <v>23</v>
      </c>
    </row>
    <row r="40" ht="12.75">
      <c r="B40" s="7" t="s">
        <v>24</v>
      </c>
    </row>
    <row r="41" ht="12.75">
      <c r="B41" s="6" t="s">
        <v>25</v>
      </c>
    </row>
    <row r="43" ht="12.75">
      <c r="B43" s="7" t="s">
        <v>26</v>
      </c>
    </row>
    <row r="44" ht="12.75">
      <c r="B44" s="6" t="s">
        <v>27</v>
      </c>
    </row>
    <row r="45" ht="12.75">
      <c r="B45" s="7" t="s">
        <v>28</v>
      </c>
    </row>
    <row r="46" ht="12.75">
      <c r="B46" s="6" t="s">
        <v>29</v>
      </c>
    </row>
    <row r="47" ht="12.75">
      <c r="B47" s="7" t="s">
        <v>30</v>
      </c>
    </row>
    <row r="48" ht="12.75">
      <c r="B48" s="6" t="s">
        <v>31</v>
      </c>
    </row>
    <row r="49" ht="12.75">
      <c r="B49" s="7" t="s">
        <v>32</v>
      </c>
    </row>
    <row r="50" ht="12.75">
      <c r="B50" s="6" t="s">
        <v>33</v>
      </c>
    </row>
    <row r="52" spans="2:10" ht="12.75">
      <c r="B52" s="7" t="s">
        <v>34</v>
      </c>
      <c r="G52" s="4">
        <f>0.4</f>
        <v>0.4</v>
      </c>
      <c r="J52" s="4">
        <f>0.4</f>
        <v>0.4</v>
      </c>
    </row>
    <row r="54" ht="12.75">
      <c r="B54" s="7" t="s">
        <v>35</v>
      </c>
    </row>
    <row r="55" ht="12.75">
      <c r="B55" s="7" t="s">
        <v>36</v>
      </c>
    </row>
    <row r="57" spans="2:10" ht="12.75">
      <c r="B57" s="7" t="s">
        <v>37</v>
      </c>
      <c r="G57" s="4">
        <f>0</f>
        <v>0</v>
      </c>
      <c r="J57" s="4">
        <f>20</f>
        <v>20</v>
      </c>
    </row>
    <row r="59" ht="12.75">
      <c r="B59" s="7" t="s">
        <v>38</v>
      </c>
    </row>
    <row r="61" ht="12.75">
      <c r="B61" t="s">
        <v>39</v>
      </c>
    </row>
    <row r="62" ht="12.75">
      <c r="B62" s="6" t="s">
        <v>40</v>
      </c>
    </row>
    <row r="63" ht="12.75">
      <c r="B63" t="s">
        <v>41</v>
      </c>
    </row>
    <row r="65" spans="2:10" ht="12.75">
      <c r="B65" s="7" t="s">
        <v>42</v>
      </c>
      <c r="G65" s="4">
        <f>10</f>
        <v>10</v>
      </c>
      <c r="J65" s="4">
        <f>60</f>
        <v>60</v>
      </c>
    </row>
    <row r="67" ht="12.75">
      <c r="B67" s="7" t="s">
        <v>43</v>
      </c>
    </row>
    <row r="69" spans="2:10" ht="12.75">
      <c r="B69" s="7" t="s">
        <v>44</v>
      </c>
      <c r="G69" s="4">
        <f>G15</f>
        <v>3.3</v>
      </c>
      <c r="J69" s="4">
        <f>5</f>
        <v>5</v>
      </c>
    </row>
    <row r="70" spans="2:10" ht="12.75">
      <c r="B70" s="7" t="s">
        <v>45</v>
      </c>
      <c r="G70" s="5">
        <f>G57/G17</f>
        <v>0</v>
      </c>
      <c r="J70">
        <f>J57/J17</f>
        <v>0.16</v>
      </c>
    </row>
    <row r="71" spans="2:10" ht="12.75">
      <c r="B71" s="7" t="s">
        <v>46</v>
      </c>
      <c r="G71" s="5">
        <f>G52*G70*G65*SQRT(G69)</f>
        <v>0</v>
      </c>
      <c r="J71" s="5">
        <f>J52*J70*J65*SQRT(J69)</f>
        <v>8.586501033599193</v>
      </c>
    </row>
    <row r="72" spans="2:10" ht="12.75">
      <c r="B72" s="7" t="s">
        <v>47</v>
      </c>
      <c r="G72" s="4">
        <f>1.05</f>
        <v>1.05</v>
      </c>
      <c r="J72" s="4">
        <f>1.05</f>
        <v>1.05</v>
      </c>
    </row>
    <row r="74" ht="12.75">
      <c r="B74" s="7" t="s">
        <v>48</v>
      </c>
    </row>
    <row r="76" spans="2:10" ht="12.75">
      <c r="B76" s="7" t="s">
        <v>49</v>
      </c>
      <c r="G76" s="4">
        <f>9.8</f>
        <v>9.8</v>
      </c>
      <c r="J76" s="4">
        <f>34.9</f>
        <v>34.9</v>
      </c>
    </row>
    <row r="77" spans="2:10" ht="12.75">
      <c r="B77" s="7" t="s">
        <v>50</v>
      </c>
      <c r="G77" s="5">
        <f>G17*G31*(1+G71)*G76/(100-G76)</f>
        <v>47.83104273685693</v>
      </c>
      <c r="J77" s="5">
        <f>J17*J31*(1+J71)*LN(100/(100-J76))</f>
        <v>954.1893876002787</v>
      </c>
    </row>
    <row r="78" spans="2:10" ht="12.75">
      <c r="B78" s="7"/>
      <c r="G78" s="5"/>
      <c r="J78" s="5"/>
    </row>
    <row r="79" spans="1:10" ht="12.75">
      <c r="A79" s="3" t="s">
        <v>51</v>
      </c>
      <c r="B79" s="7"/>
      <c r="G79" s="5"/>
      <c r="J79" s="5"/>
    </row>
    <row r="80" spans="2:10" ht="12.75">
      <c r="B80" s="2" t="s">
        <v>52</v>
      </c>
      <c r="G80" s="5"/>
      <c r="J80" s="5"/>
    </row>
    <row r="81" spans="2:10" ht="12.75">
      <c r="B81" s="7" t="s">
        <v>53</v>
      </c>
      <c r="G81" s="5">
        <f>0.5</f>
        <v>0.5</v>
      </c>
      <c r="J81" s="5"/>
    </row>
    <row r="82" spans="2:10" ht="12.75">
      <c r="B82" s="7" t="s">
        <v>54</v>
      </c>
      <c r="G82" s="5">
        <f>G77*G13*G14*G81/G17</f>
        <v>7.247127687402565</v>
      </c>
      <c r="J82" s="5"/>
    </row>
    <row r="83" spans="2:10" ht="12.75">
      <c r="B83" s="7"/>
      <c r="G83" s="5"/>
      <c r="J83" s="5"/>
    </row>
    <row r="84" spans="2:10" ht="12.75">
      <c r="B84" s="7" t="s">
        <v>55</v>
      </c>
      <c r="G84" s="5"/>
      <c r="J84" s="5"/>
    </row>
    <row r="85" spans="2:10" ht="12.75">
      <c r="B85" s="7"/>
      <c r="G85" s="5"/>
      <c r="J85" s="5"/>
    </row>
    <row r="86" spans="2:10" ht="12.75">
      <c r="B86" s="7" t="s">
        <v>56</v>
      </c>
      <c r="G86" s="5"/>
      <c r="J86" s="5"/>
    </row>
    <row r="87" spans="2:10" ht="12.75">
      <c r="B87" s="7" t="s">
        <v>57</v>
      </c>
      <c r="G87" s="5"/>
      <c r="J87" s="5"/>
    </row>
    <row r="88" spans="2:10" ht="12.75">
      <c r="B88" s="8" t="s">
        <v>58</v>
      </c>
      <c r="G88" s="5"/>
      <c r="J88" s="5"/>
    </row>
    <row r="89" spans="2:10" ht="12.75">
      <c r="B89" s="7"/>
      <c r="G89" s="5"/>
      <c r="J89" s="5"/>
    </row>
    <row r="90" spans="2:10" ht="12.75">
      <c r="B90" s="7" t="s">
        <v>59</v>
      </c>
      <c r="G90" s="9">
        <f>10000</f>
        <v>10000</v>
      </c>
      <c r="J90" s="5"/>
    </row>
    <row r="91" spans="2:10" ht="12.75">
      <c r="B91" s="8" t="s">
        <v>60</v>
      </c>
      <c r="G91" s="9">
        <f>0.6</f>
        <v>0.6</v>
      </c>
      <c r="J91" s="5"/>
    </row>
    <row r="92" spans="2:10" ht="12.75">
      <c r="B92" s="7"/>
      <c r="G92" s="5"/>
      <c r="J92" s="5"/>
    </row>
    <row r="93" spans="2:10" ht="12.75">
      <c r="B93" s="7" t="s">
        <v>61</v>
      </c>
      <c r="G93" s="10">
        <f>G82/(G90*G91*G65)</f>
        <v>0.00012078546145670942</v>
      </c>
      <c r="J93" s="5"/>
    </row>
    <row r="94" spans="2:10" ht="12.75">
      <c r="B94" s="7"/>
      <c r="G94" s="10"/>
      <c r="J94" s="5"/>
    </row>
    <row r="95" spans="2:10" ht="12.75">
      <c r="B95" s="7" t="s">
        <v>62</v>
      </c>
      <c r="G95" s="10"/>
      <c r="J95" s="5"/>
    </row>
    <row r="96" spans="2:10" ht="12.75">
      <c r="B96" s="7"/>
      <c r="G96" s="10"/>
      <c r="J96" s="5"/>
    </row>
    <row r="97" spans="2:10" ht="12.75">
      <c r="B97" s="7" t="s">
        <v>63</v>
      </c>
      <c r="G97" s="11">
        <f>2</f>
        <v>2</v>
      </c>
      <c r="J97" s="5"/>
    </row>
    <row r="98" spans="2:10" ht="12.75">
      <c r="B98" s="7" t="s">
        <v>64</v>
      </c>
      <c r="G98" s="10">
        <f>G93/G97</f>
        <v>6.039273072835471E-05</v>
      </c>
      <c r="J98" s="5"/>
    </row>
    <row r="99" spans="2:10" ht="12.75">
      <c r="B99" s="7"/>
      <c r="G99" s="10"/>
      <c r="J99" s="5"/>
    </row>
    <row r="100" spans="2:10" ht="12.75">
      <c r="B100" s="7" t="s">
        <v>65</v>
      </c>
      <c r="G100" s="10"/>
      <c r="J100" s="5"/>
    </row>
    <row r="101" spans="2:10" ht="12.75">
      <c r="B101" s="7" t="s">
        <v>66</v>
      </c>
      <c r="G101" s="11">
        <f>4</f>
        <v>4</v>
      </c>
      <c r="J101" s="5"/>
    </row>
    <row r="102" spans="2:10" ht="12.75">
      <c r="B102" s="7" t="s">
        <v>67</v>
      </c>
      <c r="G102" s="12">
        <f>SQRT(4*(G98/G101)/3.14)</f>
        <v>0.0043855847654725374</v>
      </c>
      <c r="J102" s="5"/>
    </row>
    <row r="103" spans="2:10" ht="12.75">
      <c r="B103" s="7"/>
      <c r="G103" s="10"/>
      <c r="J103" s="5"/>
    </row>
    <row r="104" spans="2:10" ht="12.75">
      <c r="B104" s="7" t="s">
        <v>68</v>
      </c>
      <c r="G104" s="10"/>
      <c r="J104" s="5"/>
    </row>
    <row r="105" spans="2:10" ht="12.75">
      <c r="B105" s="7" t="s">
        <v>69</v>
      </c>
      <c r="G105" s="10"/>
      <c r="J105" s="5"/>
    </row>
    <row r="106" spans="2:10" ht="12.75">
      <c r="B106" s="7" t="s">
        <v>70</v>
      </c>
      <c r="G106" s="10"/>
      <c r="J106" s="5"/>
    </row>
    <row r="107" spans="2:10" ht="12.75">
      <c r="B107" s="7" t="s">
        <v>71</v>
      </c>
      <c r="G107" s="10"/>
      <c r="J107" s="5"/>
    </row>
    <row r="108" spans="2:10" ht="12.75">
      <c r="B108" s="7" t="s">
        <v>72</v>
      </c>
      <c r="G108" s="10"/>
      <c r="J108" s="5"/>
    </row>
    <row r="109" spans="2:10" ht="12.75">
      <c r="B109" s="7"/>
      <c r="G109" s="10"/>
      <c r="J109" s="5"/>
    </row>
    <row r="110" spans="2:10" ht="12.75">
      <c r="B110" s="7" t="s">
        <v>73</v>
      </c>
      <c r="G110" s="13">
        <f>1.2</f>
        <v>1.2</v>
      </c>
      <c r="J110" s="5"/>
    </row>
    <row r="111" spans="2:10" ht="12.75">
      <c r="B111" s="7" t="s">
        <v>74</v>
      </c>
      <c r="G111" s="10">
        <f>G110*G98</f>
        <v>7.247127687402565E-05</v>
      </c>
      <c r="J111" s="5"/>
    </row>
    <row r="112" spans="2:10" ht="12.75">
      <c r="B112" s="7"/>
      <c r="G112" s="10"/>
      <c r="J112" s="5"/>
    </row>
    <row r="113" spans="2:10" ht="12.75">
      <c r="B113" s="7" t="s">
        <v>75</v>
      </c>
      <c r="G113" s="10"/>
      <c r="J113" s="5"/>
    </row>
    <row r="114" spans="2:10" ht="12.75">
      <c r="B114" s="7"/>
      <c r="G114" s="10"/>
      <c r="J114" s="5"/>
    </row>
    <row r="115" spans="2:10" ht="12.75">
      <c r="B115" s="7" t="s">
        <v>76</v>
      </c>
      <c r="G115" s="10">
        <f>G111*2*1.1</f>
        <v>0.00015943680912285644</v>
      </c>
      <c r="J115" s="5"/>
    </row>
    <row r="116" spans="2:10" ht="12.75">
      <c r="B116" s="7"/>
      <c r="G116" s="10"/>
      <c r="J116" s="5"/>
    </row>
    <row r="117" spans="2:10" ht="12.75">
      <c r="B117" s="7" t="s">
        <v>77</v>
      </c>
      <c r="G117" s="10"/>
      <c r="J117" s="5"/>
    </row>
    <row r="118" spans="2:10" ht="12.75">
      <c r="B118" s="7" t="s">
        <v>78</v>
      </c>
      <c r="G118" s="10"/>
      <c r="J118" s="5"/>
    </row>
    <row r="119" spans="2:10" ht="12.75">
      <c r="B119" s="7" t="s">
        <v>79</v>
      </c>
      <c r="G119" s="14">
        <f>SQRT(G111*4/3.14)</f>
        <v>0.00960833481560125</v>
      </c>
      <c r="J119" s="5"/>
    </row>
    <row r="120" spans="2:10" ht="12.75">
      <c r="B120" s="7" t="s">
        <v>80</v>
      </c>
      <c r="G120" s="10"/>
      <c r="J120" s="5"/>
    </row>
    <row r="121" spans="2:10" ht="12.75">
      <c r="B121" s="7" t="s">
        <v>81</v>
      </c>
      <c r="G121" s="10"/>
      <c r="J121" s="5"/>
    </row>
    <row r="122" spans="2:10" ht="12.75">
      <c r="B122" s="7" t="s">
        <v>82</v>
      </c>
      <c r="G122" s="14">
        <f>SQRT(G115*4/3.14)</f>
        <v>0.014251463624594115</v>
      </c>
      <c r="J122" s="5"/>
    </row>
    <row r="123" spans="2:10" ht="12.75">
      <c r="B123" s="7" t="s">
        <v>83</v>
      </c>
      <c r="G123" s="10"/>
      <c r="J123" s="5"/>
    </row>
    <row r="124" spans="2:10" ht="12.75">
      <c r="B124" s="7"/>
      <c r="G124" s="10"/>
      <c r="J124" s="5"/>
    </row>
    <row r="125" spans="2:10" ht="12.75">
      <c r="B125" s="2" t="s">
        <v>84</v>
      </c>
      <c r="G125" s="10"/>
      <c r="J125" s="5"/>
    </row>
    <row r="126" spans="2:10" ht="12.75">
      <c r="B126" s="7" t="s">
        <v>85</v>
      </c>
      <c r="G126" s="13">
        <f>2.3</f>
        <v>2.3</v>
      </c>
      <c r="J126" s="5"/>
    </row>
    <row r="127" spans="2:10" ht="12.75">
      <c r="B127" s="7" t="s">
        <v>86</v>
      </c>
      <c r="G127" s="5">
        <f>G77*G13*G14*G126/G17</f>
        <v>33.3367873620518</v>
      </c>
      <c r="J127" s="5"/>
    </row>
    <row r="128" spans="2:10" ht="12.75">
      <c r="B128" s="7"/>
      <c r="G128" s="10"/>
      <c r="J128" s="5"/>
    </row>
    <row r="129" spans="2:10" ht="12.75">
      <c r="B129" s="7" t="s">
        <v>87</v>
      </c>
      <c r="G129" s="10"/>
      <c r="J129" s="5"/>
    </row>
    <row r="130" spans="2:10" ht="12.75">
      <c r="B130" s="7"/>
      <c r="G130" s="10"/>
      <c r="J130" s="5"/>
    </row>
    <row r="131" spans="2:10" ht="12.75">
      <c r="B131" s="7" t="s">
        <v>56</v>
      </c>
      <c r="G131" s="10"/>
      <c r="J131" s="5"/>
    </row>
    <row r="132" spans="2:10" ht="12.75">
      <c r="B132" s="7"/>
      <c r="G132" s="10"/>
      <c r="J132" s="5"/>
    </row>
    <row r="133" spans="2:10" ht="12.75">
      <c r="B133" s="7" t="s">
        <v>88</v>
      </c>
      <c r="G133" s="10">
        <f>G127/(G90*G65)</f>
        <v>0.000333367873620518</v>
      </c>
      <c r="J133" s="5"/>
    </row>
    <row r="134" spans="2:10" ht="12.75">
      <c r="B134" s="7" t="s">
        <v>89</v>
      </c>
      <c r="G134" s="10"/>
      <c r="J134" s="5"/>
    </row>
    <row r="135" spans="2:10" ht="12.75">
      <c r="B135" s="7" t="s">
        <v>90</v>
      </c>
      <c r="G135" s="11">
        <v>2</v>
      </c>
      <c r="J135" s="5"/>
    </row>
    <row r="136" spans="2:10" ht="12.75">
      <c r="B136" s="7" t="s">
        <v>91</v>
      </c>
      <c r="G136" s="15">
        <f>G133/G135</f>
        <v>0.000166683936810259</v>
      </c>
      <c r="J136" s="5"/>
    </row>
    <row r="137" spans="2:10" ht="12.75">
      <c r="B137" s="7"/>
      <c r="G137" s="10"/>
      <c r="J137" s="5"/>
    </row>
    <row r="138" spans="2:10" ht="12.75">
      <c r="B138" s="7" t="s">
        <v>92</v>
      </c>
      <c r="G138" s="10"/>
      <c r="J138" s="5"/>
    </row>
    <row r="139" spans="2:10" ht="12.75">
      <c r="B139" s="7" t="s">
        <v>93</v>
      </c>
      <c r="G139" s="11">
        <f>5</f>
        <v>5</v>
      </c>
      <c r="J139" s="5"/>
    </row>
    <row r="140" spans="2:10" ht="12.75">
      <c r="B140" s="7" t="s">
        <v>94</v>
      </c>
      <c r="G140" s="12">
        <f>SQRT(4*(G136/G139)/3.14)</f>
        <v>0.006516689730775875</v>
      </c>
      <c r="J140" s="5"/>
    </row>
    <row r="141" spans="2:10" ht="12.75">
      <c r="B141" s="7"/>
      <c r="G141" s="10"/>
      <c r="J141" s="5"/>
    </row>
    <row r="142" spans="2:10" ht="12.75">
      <c r="B142" s="7" t="s">
        <v>68</v>
      </c>
      <c r="G142" s="10"/>
      <c r="J142" s="5"/>
    </row>
    <row r="143" spans="2:10" ht="12.75">
      <c r="B143" s="7" t="s">
        <v>95</v>
      </c>
      <c r="G143" s="10"/>
      <c r="J143" s="5"/>
    </row>
    <row r="144" spans="2:10" ht="12.75">
      <c r="B144" s="7"/>
      <c r="G144" s="10"/>
      <c r="J144" s="5"/>
    </row>
    <row r="145" spans="2:10" ht="12.75">
      <c r="B145" s="7" t="s">
        <v>74</v>
      </c>
      <c r="G145" s="12">
        <f>G110*G136</f>
        <v>0.0002000207241723108</v>
      </c>
      <c r="J145" s="5"/>
    </row>
    <row r="146" spans="2:10" ht="12.75">
      <c r="B146" s="7"/>
      <c r="G146" s="10"/>
      <c r="J146" s="5"/>
    </row>
    <row r="147" spans="2:10" ht="12.75">
      <c r="B147" s="7" t="s">
        <v>75</v>
      </c>
      <c r="G147" s="10"/>
      <c r="J147" s="5"/>
    </row>
    <row r="148" spans="2:10" ht="12.75">
      <c r="B148" s="7"/>
      <c r="G148" s="10"/>
      <c r="J148" s="5"/>
    </row>
    <row r="149" spans="2:10" ht="12.75">
      <c r="B149" s="7" t="s">
        <v>76</v>
      </c>
      <c r="G149" s="10">
        <f>G145*2*1.1</f>
        <v>0.0004400455931790838</v>
      </c>
      <c r="J149" s="5"/>
    </row>
    <row r="150" spans="2:10" ht="12.75">
      <c r="B150" s="7"/>
      <c r="G150" s="10"/>
      <c r="J150" s="5"/>
    </row>
    <row r="151" spans="2:10" ht="12.75">
      <c r="B151" s="7" t="s">
        <v>77</v>
      </c>
      <c r="G151" s="10"/>
      <c r="J151" s="5"/>
    </row>
    <row r="152" spans="2:10" ht="12.75">
      <c r="B152" s="7" t="s">
        <v>78</v>
      </c>
      <c r="G152" s="10"/>
      <c r="J152" s="5"/>
    </row>
    <row r="153" spans="2:10" ht="12.75">
      <c r="B153" s="7" t="s">
        <v>79</v>
      </c>
      <c r="G153" s="14">
        <f>SQRT(G145*4/3.14)</f>
        <v>0.015962564652435975</v>
      </c>
      <c r="J153" s="5"/>
    </row>
    <row r="154" spans="2:10" ht="12.75">
      <c r="B154" s="7" t="s">
        <v>96</v>
      </c>
      <c r="G154" s="10"/>
      <c r="J154" s="5"/>
    </row>
    <row r="155" spans="2:10" ht="12.75">
      <c r="B155" s="7" t="s">
        <v>82</v>
      </c>
      <c r="G155" s="14">
        <f>SQRT(G149*4/3.14)</f>
        <v>0.023676309565112477</v>
      </c>
      <c r="J155" s="5"/>
    </row>
    <row r="156" spans="2:10" ht="12.75">
      <c r="B156" s="7" t="s">
        <v>97</v>
      </c>
      <c r="G156" s="10"/>
      <c r="J156" s="5"/>
    </row>
    <row r="157" spans="2:10" ht="12.75">
      <c r="B157" s="7"/>
      <c r="G157" s="10"/>
      <c r="J157" s="5"/>
    </row>
    <row r="158" spans="2:10" ht="12.75">
      <c r="B158" s="2" t="s">
        <v>98</v>
      </c>
      <c r="G158" s="10"/>
      <c r="J158" s="5"/>
    </row>
    <row r="159" spans="2:10" ht="12.75">
      <c r="B159" s="7" t="s">
        <v>99</v>
      </c>
      <c r="G159" s="13">
        <v>0.5</v>
      </c>
      <c r="J159" s="5"/>
    </row>
    <row r="160" spans="2:10" ht="12.75">
      <c r="B160" s="7" t="s">
        <v>100</v>
      </c>
      <c r="G160" s="5">
        <f>G77*G13*G14*G159/G17</f>
        <v>7.247127687402565</v>
      </c>
      <c r="J160" s="5"/>
    </row>
    <row r="161" spans="2:10" ht="12.75">
      <c r="B161" s="7"/>
      <c r="G161" s="10"/>
      <c r="J161" s="5"/>
    </row>
    <row r="162" spans="2:10" ht="12.75">
      <c r="B162" s="7" t="s">
        <v>87</v>
      </c>
      <c r="G162" s="10"/>
      <c r="J162" s="5"/>
    </row>
    <row r="163" spans="2:10" ht="12.75">
      <c r="B163" s="7"/>
      <c r="G163" s="10"/>
      <c r="J163" s="5"/>
    </row>
    <row r="164" spans="2:10" ht="12.75">
      <c r="B164" s="7" t="s">
        <v>88</v>
      </c>
      <c r="G164" s="10">
        <f>G160/(G90*G91*G65)</f>
        <v>0.00012078546145670942</v>
      </c>
      <c r="J164" s="5"/>
    </row>
    <row r="165" spans="2:10" ht="12.75">
      <c r="B165" s="7"/>
      <c r="G165" s="10"/>
      <c r="J165" s="5"/>
    </row>
    <row r="166" spans="2:10" ht="12.75">
      <c r="B166" s="7" t="s">
        <v>89</v>
      </c>
      <c r="G166" s="10"/>
      <c r="J166" s="5"/>
    </row>
    <row r="167" spans="2:10" ht="12.75">
      <c r="B167" s="7" t="s">
        <v>90</v>
      </c>
      <c r="G167" s="11">
        <f>2</f>
        <v>2</v>
      </c>
      <c r="J167" s="5"/>
    </row>
    <row r="168" spans="2:10" ht="12.75">
      <c r="B168" s="7" t="s">
        <v>91</v>
      </c>
      <c r="G168" s="10">
        <f>G164/G167</f>
        <v>6.039273072835471E-05</v>
      </c>
      <c r="J168" s="5"/>
    </row>
    <row r="169" spans="2:10" ht="12.75">
      <c r="B169" s="7"/>
      <c r="G169" s="10"/>
      <c r="J169" s="5"/>
    </row>
    <row r="170" spans="2:10" ht="12.75">
      <c r="B170" s="7" t="s">
        <v>65</v>
      </c>
      <c r="G170" s="10"/>
      <c r="J170" s="5"/>
    </row>
    <row r="171" spans="2:10" ht="12.75">
      <c r="B171" s="7" t="s">
        <v>66</v>
      </c>
      <c r="G171" s="11">
        <f>4</f>
        <v>4</v>
      </c>
      <c r="J171" s="5"/>
    </row>
    <row r="172" spans="2:10" ht="12.75">
      <c r="B172" s="7" t="s">
        <v>94</v>
      </c>
      <c r="G172" s="12">
        <f>SQRT(4*(G168/G171)/3.14)</f>
        <v>0.0043855847654725374</v>
      </c>
      <c r="J172" s="5"/>
    </row>
    <row r="173" spans="2:10" ht="12.75">
      <c r="B173" s="7"/>
      <c r="G173" s="10"/>
      <c r="J173" s="5"/>
    </row>
    <row r="174" spans="2:10" ht="12.75">
      <c r="B174" s="7" t="s">
        <v>68</v>
      </c>
      <c r="G174" s="10"/>
      <c r="J174" s="5"/>
    </row>
    <row r="175" spans="2:10" ht="12.75">
      <c r="B175" s="7"/>
      <c r="G175" s="10"/>
      <c r="J175" s="5"/>
    </row>
    <row r="176" spans="2:10" ht="12.75">
      <c r="B176" s="7" t="s">
        <v>74</v>
      </c>
      <c r="G176" s="10">
        <f>G110*G168</f>
        <v>7.247127687402565E-05</v>
      </c>
      <c r="J176" s="5"/>
    </row>
    <row r="177" spans="2:10" ht="12.75">
      <c r="B177" s="7"/>
      <c r="G177" s="10"/>
      <c r="J177" s="5"/>
    </row>
    <row r="178" spans="2:10" ht="12.75">
      <c r="B178" s="7" t="s">
        <v>75</v>
      </c>
      <c r="G178" s="10"/>
      <c r="J178" s="5"/>
    </row>
    <row r="179" spans="2:10" ht="12.75">
      <c r="B179" s="7"/>
      <c r="G179" s="10"/>
      <c r="J179" s="5"/>
    </row>
    <row r="180" spans="2:10" ht="12.75">
      <c r="B180" s="7" t="s">
        <v>76</v>
      </c>
      <c r="G180" s="10">
        <f>G176*2*1.1</f>
        <v>0.00015943680912285644</v>
      </c>
      <c r="J180" s="5"/>
    </row>
    <row r="181" spans="2:10" ht="12.75">
      <c r="B181" s="7"/>
      <c r="G181" s="10"/>
      <c r="J181" s="5"/>
    </row>
    <row r="182" spans="2:10" ht="12.75">
      <c r="B182" s="7" t="s">
        <v>77</v>
      </c>
      <c r="G182" s="10"/>
      <c r="J182" s="5"/>
    </row>
    <row r="183" spans="2:10" ht="12.75">
      <c r="B183" s="7"/>
      <c r="G183" s="10"/>
      <c r="J183" s="5"/>
    </row>
    <row r="184" spans="2:10" ht="12.75">
      <c r="B184" s="7" t="s">
        <v>79</v>
      </c>
      <c r="G184" s="14">
        <f>SQRT(G176*4/3.14)</f>
        <v>0.00960833481560125</v>
      </c>
      <c r="J184" s="5"/>
    </row>
    <row r="185" spans="2:10" ht="12.75">
      <c r="B185" s="7" t="s">
        <v>80</v>
      </c>
      <c r="G185" s="10"/>
      <c r="J185" s="5"/>
    </row>
    <row r="186" spans="2:10" ht="12.75">
      <c r="B186" s="7" t="s">
        <v>82</v>
      </c>
      <c r="G186" s="14">
        <f>SQRT(G180*4/3.14)</f>
        <v>0.014251463624594115</v>
      </c>
      <c r="J186" s="5"/>
    </row>
    <row r="187" spans="2:10" ht="12.75">
      <c r="B187" s="7" t="s">
        <v>83</v>
      </c>
      <c r="G187" s="12"/>
      <c r="J187" s="5"/>
    </row>
    <row r="188" spans="2:10" ht="12.75">
      <c r="B188" s="7"/>
      <c r="G188" s="12"/>
      <c r="J188" s="5"/>
    </row>
    <row r="189" spans="2:10" ht="12.75">
      <c r="B189" s="7" t="s">
        <v>101</v>
      </c>
      <c r="G189" s="12"/>
      <c r="J189" s="5"/>
    </row>
    <row r="190" spans="2:10" ht="12.75">
      <c r="B190" s="7"/>
      <c r="G190" s="12"/>
      <c r="J190" s="5"/>
    </row>
    <row r="191" spans="2:10" ht="12.75">
      <c r="B191" s="7" t="s">
        <v>102</v>
      </c>
      <c r="G191" s="12">
        <f>G77/(G90*G91*G65)</f>
        <v>0.0007971840456142821</v>
      </c>
      <c r="J191" s="5"/>
    </row>
    <row r="192" spans="2:10" ht="12.75">
      <c r="B192" s="7" t="s">
        <v>103</v>
      </c>
      <c r="G192" s="14">
        <f>SQRT(G191*4/3.14)</f>
        <v>0.03186724144345798</v>
      </c>
      <c r="J192" s="5"/>
    </row>
    <row r="193" spans="2:10" ht="12.75">
      <c r="B193" s="7"/>
      <c r="G193" s="12"/>
      <c r="J193" s="5"/>
    </row>
    <row r="194" spans="2:10" ht="12.75">
      <c r="B194" s="7" t="s">
        <v>104</v>
      </c>
      <c r="G194" s="12"/>
      <c r="J194" s="5"/>
    </row>
    <row r="195" spans="2:10" ht="12.75">
      <c r="B195" s="7"/>
      <c r="G195" s="12"/>
      <c r="J195" s="5"/>
    </row>
    <row r="197" spans="1:2" ht="12.75">
      <c r="A197" s="3" t="s">
        <v>105</v>
      </c>
      <c r="B197" s="7"/>
    </row>
    <row r="199" ht="12.75">
      <c r="B199" s="7" t="s">
        <v>106</v>
      </c>
    </row>
    <row r="201" ht="12.75">
      <c r="B201" s="7" t="s">
        <v>107</v>
      </c>
    </row>
    <row r="203" ht="12.75">
      <c r="B203" s="7" t="s">
        <v>108</v>
      </c>
    </row>
    <row r="204" ht="12.75">
      <c r="B204" s="7"/>
    </row>
    <row r="205" ht="12.75">
      <c r="B205" s="7" t="s">
        <v>109</v>
      </c>
    </row>
    <row r="206" ht="12.75">
      <c r="B206" s="7"/>
    </row>
    <row r="207" spans="2:7" ht="12.75">
      <c r="B207" s="7" t="s">
        <v>110</v>
      </c>
      <c r="G207" s="4">
        <f>0.032</f>
        <v>0.032</v>
      </c>
    </row>
    <row r="208" spans="2:7" ht="12.75">
      <c r="B208" s="7" t="s">
        <v>111</v>
      </c>
      <c r="G208" s="10">
        <f>(3.14*G207*G207)/4</f>
        <v>0.00080384</v>
      </c>
    </row>
    <row r="209" spans="2:7" ht="12.75">
      <c r="B209" s="7" t="s">
        <v>112</v>
      </c>
      <c r="G209" s="4">
        <f>2</f>
        <v>2</v>
      </c>
    </row>
    <row r="210" spans="2:7" ht="12.75">
      <c r="B210" s="7" t="s">
        <v>113</v>
      </c>
      <c r="G210" s="16">
        <f>G208*G209</f>
        <v>0.00160768</v>
      </c>
    </row>
    <row r="211" spans="2:7" ht="12.75">
      <c r="B211" s="7"/>
      <c r="G211" s="4"/>
    </row>
    <row r="212" ht="12.75">
      <c r="B212" s="7"/>
    </row>
    <row r="213" ht="12.75">
      <c r="B213" s="7" t="s">
        <v>114</v>
      </c>
    </row>
    <row r="214" ht="12.75">
      <c r="B214" s="7"/>
    </row>
    <row r="215" spans="2:10" ht="12.75">
      <c r="B215" s="7" t="s">
        <v>115</v>
      </c>
      <c r="G215" s="4">
        <f>0.024</f>
        <v>0.024</v>
      </c>
      <c r="J215" s="4">
        <f>0.016</f>
        <v>0.016</v>
      </c>
    </row>
    <row r="216" spans="2:10" ht="12.75">
      <c r="B216" s="7" t="s">
        <v>111</v>
      </c>
      <c r="G216" s="10">
        <f>(3.14*G215*G215)/4</f>
        <v>0.00045216000000000006</v>
      </c>
      <c r="J216" s="14">
        <f>3.14*J215*J215</f>
        <v>0.00080384</v>
      </c>
    </row>
    <row r="217" spans="2:10" ht="12.75">
      <c r="B217" s="7" t="s">
        <v>112</v>
      </c>
      <c r="G217" s="4">
        <f>2.9</f>
        <v>2.9</v>
      </c>
      <c r="J217" s="4">
        <f>48</f>
        <v>48</v>
      </c>
    </row>
    <row r="218" spans="2:10" ht="12.75">
      <c r="B218" s="7" t="s">
        <v>116</v>
      </c>
      <c r="G218" s="10">
        <f>G216*G217</f>
        <v>0.0013112640000000001</v>
      </c>
      <c r="J218" s="5">
        <f>J216*J217</f>
        <v>0.03858432</v>
      </c>
    </row>
    <row r="219" spans="2:10" ht="12.75">
      <c r="B219" s="7"/>
      <c r="G219" s="10"/>
      <c r="J219" s="5"/>
    </row>
    <row r="220" spans="2:10" ht="12.75">
      <c r="B220" s="7"/>
      <c r="G220" s="10"/>
      <c r="J220" s="5"/>
    </row>
    <row r="221" spans="2:10" ht="12.75">
      <c r="B221" s="7" t="s">
        <v>117</v>
      </c>
      <c r="G221" s="10"/>
      <c r="J221" s="5"/>
    </row>
    <row r="222" spans="2:10" ht="12.75">
      <c r="B222" s="7"/>
      <c r="G222" s="10"/>
      <c r="J222" s="5"/>
    </row>
    <row r="223" spans="2:10" ht="12.75">
      <c r="B223" s="7" t="s">
        <v>115</v>
      </c>
      <c r="G223" s="17">
        <f>0.016</f>
        <v>0.016</v>
      </c>
      <c r="J223" s="5"/>
    </row>
    <row r="224" spans="2:10" ht="12.75">
      <c r="B224" s="7" t="s">
        <v>111</v>
      </c>
      <c r="G224" s="10">
        <f>(3.14*G223*G223)/4</f>
        <v>0.00020096</v>
      </c>
      <c r="J224" s="5"/>
    </row>
    <row r="225" spans="2:10" ht="12.75">
      <c r="B225" s="7" t="s">
        <v>118</v>
      </c>
      <c r="G225" s="13">
        <v>8.6</v>
      </c>
      <c r="J225" s="5"/>
    </row>
    <row r="226" spans="2:10" ht="12.75">
      <c r="B226" s="7" t="s">
        <v>119</v>
      </c>
      <c r="G226" s="18">
        <f>G224*G225</f>
        <v>0.0017282559999999998</v>
      </c>
      <c r="J226" s="5"/>
    </row>
    <row r="227" spans="2:10" ht="12.75">
      <c r="B227" s="7"/>
      <c r="G227" s="18"/>
      <c r="J227" s="5"/>
    </row>
    <row r="228" spans="2:10" ht="12.75">
      <c r="B228" s="7" t="s">
        <v>120</v>
      </c>
      <c r="G228" s="18"/>
      <c r="J228" s="5"/>
    </row>
    <row r="229" spans="2:10" ht="12.75">
      <c r="B229" s="7"/>
      <c r="G229" s="18"/>
      <c r="J229" s="5"/>
    </row>
    <row r="230" spans="2:10" ht="12.75">
      <c r="B230" s="7" t="s">
        <v>115</v>
      </c>
      <c r="G230" s="17">
        <f>0.012</f>
        <v>0.012</v>
      </c>
      <c r="J230" s="5"/>
    </row>
    <row r="231" spans="2:10" ht="12.75">
      <c r="B231" s="7" t="s">
        <v>121</v>
      </c>
      <c r="G231" s="18">
        <f>(3.14*G230*G230)/4</f>
        <v>0.00011304000000000002</v>
      </c>
      <c r="J231" s="5"/>
    </row>
    <row r="232" spans="2:10" ht="12.75">
      <c r="B232" s="7" t="s">
        <v>118</v>
      </c>
      <c r="G232" s="11">
        <f>6</f>
        <v>6</v>
      </c>
      <c r="J232" s="5"/>
    </row>
    <row r="233" spans="2:10" ht="12.75">
      <c r="B233" s="7" t="s">
        <v>122</v>
      </c>
      <c r="G233" s="18">
        <f>G231*G232</f>
        <v>0.0006782400000000001</v>
      </c>
      <c r="J233" s="5"/>
    </row>
    <row r="234" spans="2:10" ht="12.75">
      <c r="B234" s="7"/>
      <c r="G234" s="18"/>
      <c r="J234" s="5"/>
    </row>
    <row r="235" spans="2:10" ht="12.75">
      <c r="B235" s="7" t="s">
        <v>123</v>
      </c>
      <c r="G235" s="18"/>
      <c r="J235" s="5"/>
    </row>
    <row r="236" spans="2:10" ht="12.75">
      <c r="B236" s="7"/>
      <c r="G236" s="18"/>
      <c r="J236" s="5"/>
    </row>
    <row r="237" spans="2:10" ht="12.75">
      <c r="B237" s="7" t="s">
        <v>115</v>
      </c>
      <c r="G237" s="17">
        <f>0.016</f>
        <v>0.016</v>
      </c>
      <c r="J237" s="5"/>
    </row>
    <row r="238" spans="2:10" ht="12.75">
      <c r="B238" s="7" t="s">
        <v>111</v>
      </c>
      <c r="G238" s="18">
        <f>(3.14*G237*G237)/4</f>
        <v>0.00020096</v>
      </c>
      <c r="J238" s="5"/>
    </row>
    <row r="239" spans="2:10" ht="12.75">
      <c r="B239" s="7" t="s">
        <v>118</v>
      </c>
      <c r="G239" s="11">
        <f>1</f>
        <v>1</v>
      </c>
      <c r="J239" s="5"/>
    </row>
    <row r="240" spans="2:10" ht="12.75">
      <c r="B240" s="7" t="s">
        <v>124</v>
      </c>
      <c r="G240" s="18">
        <f>G238*G239</f>
        <v>0.00020096</v>
      </c>
      <c r="J240" s="5"/>
    </row>
    <row r="241" spans="2:10" ht="12.75">
      <c r="B241" s="7"/>
      <c r="G241" s="19"/>
      <c r="J241" s="5"/>
    </row>
    <row r="242" spans="2:10" ht="12.75">
      <c r="B242" s="7" t="s">
        <v>125</v>
      </c>
      <c r="G242" s="20">
        <f>G218+G226+G240+G233+G210</f>
        <v>0.005526400000000001</v>
      </c>
      <c r="J242" s="5"/>
    </row>
    <row r="244" spans="2:10" ht="12.75">
      <c r="B244" s="7" t="s">
        <v>126</v>
      </c>
      <c r="G244" s="14">
        <f>G26*G242</f>
        <v>0.028781491200000005</v>
      </c>
      <c r="J244" s="14">
        <f>J218*J26</f>
        <v>0.07253852159999999</v>
      </c>
    </row>
    <row r="246" spans="2:10" ht="12.75">
      <c r="B246" s="7" t="s">
        <v>127</v>
      </c>
      <c r="G246" s="4">
        <f>0.5</f>
        <v>0.5</v>
      </c>
      <c r="J246" s="4">
        <f>0.5</f>
        <v>0.5</v>
      </c>
    </row>
    <row r="247" spans="2:10" ht="12.75">
      <c r="B247" s="7" t="s">
        <v>128</v>
      </c>
      <c r="G247" s="4">
        <f>1</f>
        <v>1</v>
      </c>
      <c r="J247" s="4">
        <f>10</f>
        <v>10</v>
      </c>
    </row>
    <row r="249" spans="2:10" ht="12.75">
      <c r="B249" s="7" t="s">
        <v>129</v>
      </c>
      <c r="G249">
        <f>G246*G247</f>
        <v>0.5</v>
      </c>
      <c r="J249">
        <f>J246*J247</f>
        <v>5</v>
      </c>
    </row>
    <row r="251" ht="12.75">
      <c r="A251" s="21" t="s">
        <v>130</v>
      </c>
    </row>
    <row r="253" spans="2:10" ht="12.75">
      <c r="B253" t="s">
        <v>131</v>
      </c>
      <c r="G253" s="5">
        <f>(G77+G244+G249)*G72</f>
        <v>50.77781543945978</v>
      </c>
      <c r="J253">
        <f>(J77+J244+J249)*J72</f>
        <v>1007.2250224279727</v>
      </c>
    </row>
    <row r="255" ht="12.75">
      <c r="A255" s="3" t="s">
        <v>132</v>
      </c>
    </row>
    <row r="256" ht="12.75">
      <c r="A256" s="3" t="s">
        <v>133</v>
      </c>
    </row>
    <row r="257" ht="12.75">
      <c r="A257" s="21" t="s">
        <v>134</v>
      </c>
    </row>
    <row r="259" ht="12.75">
      <c r="B259" t="s">
        <v>135</v>
      </c>
    </row>
    <row r="261" ht="12.75">
      <c r="B261" s="6" t="s">
        <v>136</v>
      </c>
    </row>
    <row r="262" spans="2:7" ht="12.75">
      <c r="B262" s="6" t="s">
        <v>137</v>
      </c>
      <c r="G262" s="4">
        <f>1167</f>
        <v>1167</v>
      </c>
    </row>
    <row r="264" spans="2:7" ht="12.75">
      <c r="B264" t="s">
        <v>138</v>
      </c>
      <c r="G264" s="10">
        <f>0.8*G253/G262</f>
        <v>0.03480912797906412</v>
      </c>
    </row>
    <row r="265" ht="12.75">
      <c r="B265" t="s">
        <v>139</v>
      </c>
    </row>
    <row r="267" ht="20.25">
      <c r="A267" s="22" t="s">
        <v>140</v>
      </c>
    </row>
    <row r="269" ht="12.75">
      <c r="A269" s="3" t="s">
        <v>141</v>
      </c>
    </row>
    <row r="271" ht="12.75">
      <c r="B271" s="23"/>
    </row>
    <row r="274" ht="12.75">
      <c r="B274" s="7" t="s">
        <v>142</v>
      </c>
    </row>
    <row r="275" ht="12.75">
      <c r="B275" s="7" t="s">
        <v>143</v>
      </c>
    </row>
    <row r="276" ht="12.75">
      <c r="B276" s="7" t="s">
        <v>144</v>
      </c>
    </row>
    <row r="277" ht="12.75">
      <c r="B277" s="7" t="s">
        <v>145</v>
      </c>
    </row>
    <row r="278" ht="12.75">
      <c r="B278" s="7" t="s">
        <v>146</v>
      </c>
    </row>
    <row r="279" ht="12.75">
      <c r="B279" s="6" t="s">
        <v>147</v>
      </c>
    </row>
    <row r="280" spans="2:13" ht="12.75">
      <c r="B280" s="6" t="s">
        <v>148</v>
      </c>
      <c r="M280" s="15">
        <f>((G292+G293)/G293)</f>
        <v>7.910167818361302</v>
      </c>
    </row>
    <row r="281" ht="12.75">
      <c r="B281" s="6"/>
    </row>
    <row r="282" ht="12.75">
      <c r="B282" s="7" t="s">
        <v>149</v>
      </c>
    </row>
    <row r="283" ht="12.75">
      <c r="B283" s="7" t="s">
        <v>150</v>
      </c>
    </row>
    <row r="284" ht="12.75">
      <c r="M284">
        <f>POWER(7.910168,0.2857)</f>
        <v>1.8055588844885904</v>
      </c>
    </row>
    <row r="285" spans="2:7" ht="12.75">
      <c r="B285" s="7" t="s">
        <v>47</v>
      </c>
      <c r="G285" s="4">
        <f>1.05</f>
        <v>1.05</v>
      </c>
    </row>
    <row r="286" spans="2:7" ht="12.75">
      <c r="B286" s="7" t="s">
        <v>151</v>
      </c>
      <c r="G286" s="4">
        <f>1.2</f>
        <v>1.2</v>
      </c>
    </row>
    <row r="287" spans="2:7" ht="12.75">
      <c r="B287" s="7" t="s">
        <v>152</v>
      </c>
      <c r="G287" s="4">
        <f>1</f>
        <v>1</v>
      </c>
    </row>
    <row r="288" spans="2:7" ht="12.75">
      <c r="B288" s="7" t="s">
        <v>153</v>
      </c>
      <c r="G288" s="9">
        <f>G77</f>
        <v>47.83104273685693</v>
      </c>
    </row>
    <row r="289" spans="2:7" ht="12.75">
      <c r="B289" s="7" t="s">
        <v>154</v>
      </c>
      <c r="G289" s="4">
        <f>G65</f>
        <v>10</v>
      </c>
    </row>
    <row r="290" spans="2:7" ht="12.75">
      <c r="B290" s="6" t="s">
        <v>155</v>
      </c>
      <c r="G290" s="9">
        <f>G31</f>
        <v>5.1389179381443295</v>
      </c>
    </row>
    <row r="291" spans="2:7" ht="12.75">
      <c r="B291" s="6" t="s">
        <v>156</v>
      </c>
      <c r="G291" s="4">
        <f>1.204</f>
        <v>1.204</v>
      </c>
    </row>
    <row r="292" spans="2:7" ht="12.75">
      <c r="B292" s="7" t="s">
        <v>157</v>
      </c>
      <c r="G292" s="4">
        <v>0.7</v>
      </c>
    </row>
    <row r="293" spans="2:7" ht="12.75">
      <c r="B293" s="7" t="s">
        <v>158</v>
      </c>
      <c r="G293" s="4">
        <f>0.1013</f>
        <v>0.1013</v>
      </c>
    </row>
    <row r="294" spans="2:7" ht="12.75">
      <c r="B294" s="6" t="s">
        <v>159</v>
      </c>
      <c r="G294" s="4">
        <v>0</v>
      </c>
    </row>
    <row r="296" spans="2:7" ht="12.75">
      <c r="B296" s="7" t="s">
        <v>160</v>
      </c>
      <c r="G296" s="12">
        <f>(((G286*G287*G288)/(0.7*G285*G289*G290))*SQRT((G291/((7000000*G293*M284)-1)))-G294)</f>
        <v>0.0014736213845898893</v>
      </c>
    </row>
    <row r="298" ht="12.75">
      <c r="B298" s="7" t="s">
        <v>161</v>
      </c>
    </row>
    <row r="299" ht="12.75">
      <c r="B299" s="7" t="s">
        <v>162</v>
      </c>
    </row>
    <row r="300" ht="12.75">
      <c r="B300" s="7" t="s">
        <v>163</v>
      </c>
    </row>
    <row r="301" ht="12.75">
      <c r="B301" s="7" t="s">
        <v>164</v>
      </c>
    </row>
    <row r="302" ht="12.75">
      <c r="B302" s="7" t="s">
        <v>165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leonid</cp:lastModifiedBy>
  <dcterms:created xsi:type="dcterms:W3CDTF">1996-10-08T23:32:33Z</dcterms:created>
  <dcterms:modified xsi:type="dcterms:W3CDTF">2007-09-15T18:04:08Z</dcterms:modified>
  <cp:category/>
  <cp:version/>
  <cp:contentType/>
  <cp:contentStatus/>
</cp:coreProperties>
</file>